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1 FinPlanas" sheetId="1" r:id="rId1"/>
    <sheet name="2 FinPlanas" sheetId="2" r:id="rId2"/>
    <sheet name="3 FinPlanas" sheetId="3" r:id="rId3"/>
    <sheet name="4 FinPlanas" sheetId="4" r:id="rId4"/>
    <sheet name="5 FinPlanas" sheetId="5" r:id="rId5"/>
  </sheets>
  <definedNames>
    <definedName name="_xlnm.Print_Area" localSheetId="0">'1 FinPlanas'!$A$1:$I$74</definedName>
    <definedName name="_xlnm.Print_Area" localSheetId="1">'2 FinPlanas'!$A$1:$I$74</definedName>
    <definedName name="_xlnm.Print_Area" localSheetId="2">'3 FinPlanas'!$A$1:$I$74</definedName>
    <definedName name="_xlnm.Print_Area" localSheetId="3">'4 FinPlanas'!$A$1:$I$77</definedName>
    <definedName name="_xlnm.Print_Area" localSheetId="4">'5 FinPlanas'!$A$1:$I$77</definedName>
  </definedNames>
  <calcPr fullCalcOnLoad="1"/>
</workbook>
</file>

<file path=xl/comments1.xml><?xml version="1.0" encoding="utf-8"?>
<comments xmlns="http://schemas.openxmlformats.org/spreadsheetml/2006/main">
  <authors>
    <author>RZ</author>
    <author>Rimas</author>
  </authors>
  <commentList>
    <comment ref="C33"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32" authorId="0">
      <text>
        <r>
          <rPr>
            <sz val="8"/>
            <rFont val="Tahoma"/>
            <family val="0"/>
          </rPr>
          <t xml:space="preserve">Į mėlynus laukus duomenys neįvedami. Šiam lauke paruoštos sąnaudos S formulei.
</t>
        </r>
      </text>
    </comment>
    <comment ref="C7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30" authorId="1">
      <text>
        <r>
          <rPr>
            <sz val="8"/>
            <rFont val="Tahoma"/>
            <family val="0"/>
          </rPr>
          <t xml:space="preserve">Visos metinės išlaidos laikomos įvykusiomis tų metų pabaigoje ir diskontuojamos į projekto pradžią (0 metų pabaigą = 1 metų pradžią).
</t>
        </r>
      </text>
    </comment>
    <comment ref="C29" authorId="1">
      <text>
        <r>
          <rPr>
            <sz val="8"/>
            <rFont val="Tahoma"/>
            <family val="0"/>
          </rPr>
          <t xml:space="preserve">Nuo 1 iki max 50 metų imtinai. 
</t>
        </r>
      </text>
    </comment>
    <comment ref="C43" authorId="0">
      <text>
        <r>
          <rPr>
            <sz val="8"/>
            <rFont val="Tahoma"/>
            <family val="2"/>
          </rPr>
          <t>Per TIKRĄJĄ tinklo gyvenimo trukmę (pvz 40 metų).</t>
        </r>
      </text>
    </comment>
    <comment ref="C44"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4"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2.xml><?xml version="1.0" encoding="utf-8"?>
<comments xmlns="http://schemas.openxmlformats.org/spreadsheetml/2006/main">
  <authors>
    <author>RZ</author>
    <author>Rimas</author>
  </authors>
  <commentList>
    <comment ref="C33"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32" authorId="0">
      <text>
        <r>
          <rPr>
            <sz val="8"/>
            <rFont val="Tahoma"/>
            <family val="0"/>
          </rPr>
          <t xml:space="preserve">Į mėlynus laukus duomenys neįvedami. Šiam lauke paruoštos sąnaudos S formulei.
</t>
        </r>
      </text>
    </comment>
    <comment ref="C7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30" authorId="1">
      <text>
        <r>
          <rPr>
            <sz val="8"/>
            <rFont val="Tahoma"/>
            <family val="0"/>
          </rPr>
          <t xml:space="preserve">Visos metinės išlaidos laikomos įvykusiomis tų metų pabaigoje ir diskontuojamos į projekto pradžią (0 metų pabaigą = 1 metų pradžią).
</t>
        </r>
      </text>
    </comment>
    <comment ref="C29" authorId="1">
      <text>
        <r>
          <rPr>
            <sz val="8"/>
            <rFont val="Tahoma"/>
            <family val="0"/>
          </rPr>
          <t xml:space="preserve">Nuo 1 iki max 50 metų imtinai. 
</t>
        </r>
      </text>
    </comment>
    <comment ref="C43" authorId="0">
      <text>
        <r>
          <rPr>
            <sz val="8"/>
            <rFont val="Tahoma"/>
            <family val="2"/>
          </rPr>
          <t>Per TIKRĄJĄ tinklo gyvenimo trukmę (pvz 40 metų).</t>
        </r>
      </text>
    </comment>
    <comment ref="C44"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4"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3.xml><?xml version="1.0" encoding="utf-8"?>
<comments xmlns="http://schemas.openxmlformats.org/spreadsheetml/2006/main">
  <authors>
    <author>RZ</author>
    <author>Rimas</author>
  </authors>
  <commentList>
    <comment ref="C33" authorId="0">
      <text>
        <r>
          <rPr>
            <sz val="8"/>
            <rFont val="Tahoma"/>
            <family val="0"/>
          </rPr>
          <t xml:space="preserve">Visos investicijos per gyvenimo laiką T - diskontuotų metinių sąnaudų suma. Investicijos gali būti įvedamos ir į 0 metus.
</t>
        </r>
      </text>
    </comment>
    <comment ref="C49" authorId="0">
      <text>
        <r>
          <rPr>
            <sz val="8"/>
            <rFont val="Tahoma"/>
            <family val="0"/>
          </rPr>
          <t xml:space="preserve">Visos eksploatacinės sąnaudos per projekto gyvenimo trukmę T - diskontuotų metinių sąnaudų suma.
</t>
        </r>
      </text>
    </comment>
    <comment ref="C32" authorId="0">
      <text>
        <r>
          <rPr>
            <sz val="8"/>
            <rFont val="Tahoma"/>
            <family val="0"/>
          </rPr>
          <t xml:space="preserve">Į mėlynus laukus duomenys neįvedami. Šiam lauke paruoštos sąnaudos S formulei.
</t>
        </r>
      </text>
    </comment>
    <comment ref="C71"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30" authorId="1">
      <text>
        <r>
          <rPr>
            <sz val="8"/>
            <rFont val="Tahoma"/>
            <family val="0"/>
          </rPr>
          <t xml:space="preserve">Visos metinės išlaidos laikomos įvykusiomis tų metų pabaigoje ir diskontuojamos į projekto pradžią (0 metų pabaigą = 1 metų pradžią).
</t>
        </r>
      </text>
    </comment>
    <comment ref="C29" authorId="1">
      <text>
        <r>
          <rPr>
            <sz val="8"/>
            <rFont val="Tahoma"/>
            <family val="0"/>
          </rPr>
          <t xml:space="preserve">Nuo 1 iki max 50 metų imtinai. 
</t>
        </r>
      </text>
    </comment>
    <comment ref="C43" authorId="0">
      <text>
        <r>
          <rPr>
            <sz val="8"/>
            <rFont val="Tahoma"/>
            <family val="2"/>
          </rPr>
          <t>Per TIKRĄJĄ tinklo gyvenimo trukmę (pvz 40 metų).</t>
        </r>
      </text>
    </comment>
    <comment ref="C44"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4" authorId="0">
      <text>
        <r>
          <rPr>
            <sz val="8"/>
            <rFont val="Tahoma"/>
            <family val="2"/>
          </rPr>
          <t>Sumuoti nediskontuotas sąnaudas iš žemiau esančių eilučių visame skyriuje "Investicijos".</t>
        </r>
      </text>
    </comment>
    <comment ref="A50"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4.xml><?xml version="1.0" encoding="utf-8"?>
<comments xmlns="http://schemas.openxmlformats.org/spreadsheetml/2006/main">
  <authors>
    <author>RZ</author>
    <author>Rimas</author>
  </authors>
  <commentList>
    <comment ref="C33"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32" authorId="0">
      <text>
        <r>
          <rPr>
            <sz val="8"/>
            <rFont val="Tahoma"/>
            <family val="0"/>
          </rPr>
          <t xml:space="preserve">Į mėlynus laukus duomenys neįvedami. Šiam lauke paruoštos sąnaudos S formulei.
</t>
        </r>
      </text>
    </comment>
    <comment ref="C74"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30" authorId="1">
      <text>
        <r>
          <rPr>
            <sz val="8"/>
            <rFont val="Tahoma"/>
            <family val="0"/>
          </rPr>
          <t xml:space="preserve">Visos metinės išlaidos laikomos įvykusiomis tų metų pabaigoje ir diskontuojamos į projekto pradžią (0 metų pabaigą = 1 metų pradžią).
</t>
        </r>
      </text>
    </comment>
    <comment ref="C29" authorId="1">
      <text>
        <r>
          <rPr>
            <sz val="8"/>
            <rFont val="Tahoma"/>
            <family val="0"/>
          </rPr>
          <t xml:space="preserve">Nuo 1 iki max 50 metų imtinai. 
</t>
        </r>
      </text>
    </comment>
    <comment ref="C43" authorId="0">
      <text>
        <r>
          <rPr>
            <sz val="8"/>
            <rFont val="Tahoma"/>
            <family val="2"/>
          </rPr>
          <t>Per TIKRĄJĄ tinklo gyvenimo trukmę (pvz 40 metų).</t>
        </r>
      </text>
    </comment>
    <comment ref="C44"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4"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5.xml><?xml version="1.0" encoding="utf-8"?>
<comments xmlns="http://schemas.openxmlformats.org/spreadsheetml/2006/main">
  <authors>
    <author>RZ</author>
    <author>Rimas</author>
  </authors>
  <commentList>
    <comment ref="C33"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32" authorId="0">
      <text>
        <r>
          <rPr>
            <sz val="8"/>
            <rFont val="Tahoma"/>
            <family val="0"/>
          </rPr>
          <t xml:space="preserve">Į mėlynus laukus duomenys neįvedami. Šiam lauke paruoštos sąnaudos S formulei.
</t>
        </r>
      </text>
    </comment>
    <comment ref="C74"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30" authorId="1">
      <text>
        <r>
          <rPr>
            <sz val="8"/>
            <rFont val="Tahoma"/>
            <family val="0"/>
          </rPr>
          <t xml:space="preserve">Visos metinės išlaidos laikomos įvykusiomis tų metų pabaigoje ir diskontuojamos į projekto pradžią (0 metų pabaigą = 1 metų pradžią).
</t>
        </r>
      </text>
    </comment>
    <comment ref="C29" authorId="1">
      <text>
        <r>
          <rPr>
            <sz val="8"/>
            <rFont val="Tahoma"/>
            <family val="0"/>
          </rPr>
          <t xml:space="preserve">Nuo 1 iki max 50 metų imtinai. 
</t>
        </r>
      </text>
    </comment>
    <comment ref="C43" authorId="0">
      <text>
        <r>
          <rPr>
            <sz val="8"/>
            <rFont val="Tahoma"/>
            <family val="2"/>
          </rPr>
          <t>Per TIKRĄJĄ tinklo gyvenimo trukmę (pvz 40 metų).</t>
        </r>
      </text>
    </comment>
    <comment ref="C44"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4"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sharedStrings.xml><?xml version="1.0" encoding="utf-8"?>
<sst xmlns="http://schemas.openxmlformats.org/spreadsheetml/2006/main" count="522" uniqueCount="85">
  <si>
    <t>Rodiklis</t>
  </si>
  <si>
    <t>Mat. vienetas</t>
  </si>
  <si>
    <t>Diskonto norma</t>
  </si>
  <si>
    <t>%</t>
  </si>
  <si>
    <t>Šilumos gamybos būdas:</t>
  </si>
  <si>
    <t>Metai:</t>
  </si>
  <si>
    <t>metų</t>
  </si>
  <si>
    <t>kWh</t>
  </si>
  <si>
    <t>ct/kWh</t>
  </si>
  <si>
    <t xml:space="preserve">     Investicijos:</t>
  </si>
  <si>
    <t>A) Katilinė</t>
  </si>
  <si>
    <t>B) Tinklas</t>
  </si>
  <si>
    <t>C) Kitos investicijos</t>
  </si>
  <si>
    <t>D) Kuras</t>
  </si>
  <si>
    <t>E) Elektros energija</t>
  </si>
  <si>
    <t xml:space="preserve">     Eksploatacinės išlaidos:</t>
  </si>
  <si>
    <t>G) Kitos eksploatacinės išlaidos</t>
  </si>
  <si>
    <t>Lt</t>
  </si>
  <si>
    <t>F) Darbo užmokestis (su soc. draudimu)</t>
  </si>
  <si>
    <t>Tinklo gyvenimo trukmė</t>
  </si>
  <si>
    <t>Tinklo diskontuotų sąnaudų suma =</t>
  </si>
  <si>
    <t>Sąnaudos (Investicijos + Eksploatacinės):</t>
  </si>
  <si>
    <t>Projekto gyvenimo trukmė (katilai ir pagrindiniai technologiniai įrengimai)</t>
  </si>
  <si>
    <t>Koeficientas perskaičiavimui į projekto gyvenimo trukmę</t>
  </si>
  <si>
    <r>
      <t xml:space="preserve">                            </t>
    </r>
    <r>
      <rPr>
        <i/>
        <sz val="12"/>
        <rFont val="Arial"/>
        <family val="2"/>
      </rPr>
      <t>Investicijos VISO - nediskontuotos:</t>
    </r>
  </si>
  <si>
    <r>
      <t xml:space="preserve">      </t>
    </r>
    <r>
      <rPr>
        <i/>
        <sz val="12"/>
        <rFont val="Arial"/>
        <family val="2"/>
      </rPr>
      <t>Eksploatacinės išlaidos VISO - nediskontuotos:</t>
    </r>
  </si>
  <si>
    <t>Išeities duomenys ir prielaidos:</t>
  </si>
  <si>
    <t>Pagamintos šilumos savikainos skaičiavimas</t>
  </si>
  <si>
    <t xml:space="preserve">2 variantas. Dalies suskystintų dujų pakeitimas medienos skiedromis </t>
  </si>
  <si>
    <t>Katilinės pastato praplėtimo darbai</t>
  </si>
  <si>
    <t>Tūkst.Lt</t>
  </si>
  <si>
    <t>kW</t>
  </si>
  <si>
    <t>Medienos skiedrų katilo kaina</t>
  </si>
  <si>
    <t>Medienos skiedrų kaina</t>
  </si>
  <si>
    <t>Tūkst.Lt/t</t>
  </si>
  <si>
    <t xml:space="preserve">Medienos skiedrų katilo gyvenimo laikas </t>
  </si>
  <si>
    <t>Metų</t>
  </si>
  <si>
    <t>Suskystintų dujų kaina</t>
  </si>
  <si>
    <t>Lt/t</t>
  </si>
  <si>
    <t xml:space="preserve">Medienos skiedrų katilo darbo nominalia galia trukmė </t>
  </si>
  <si>
    <t xml:space="preserve">Medienos skiedrų katilo darbo 50% nominalios galios trukmė </t>
  </si>
  <si>
    <t>Dienų/metus</t>
  </si>
  <si>
    <t>Ievos kalno ir Rėzos šilumos tiekimo sistemų sujungimo darbai</t>
  </si>
  <si>
    <t>kcal/kg</t>
  </si>
  <si>
    <t>Medienos skiedrų žemutinė šiluminė vertė</t>
  </si>
  <si>
    <t>Suskystintų dujų žemutinė šiluminė vertė</t>
  </si>
  <si>
    <t>Šilumos gamyba medienos skiedrų katilu 100% galios</t>
  </si>
  <si>
    <t>Šilumos gamyba medienos skiedrų katilu 50% galios</t>
  </si>
  <si>
    <t>MWh/metus</t>
  </si>
  <si>
    <t xml:space="preserve">Medienos skiedrų katilo NVK prie nominalios galios </t>
  </si>
  <si>
    <t xml:space="preserve">Medienos skiedrų katilo NVK prie 50% galios </t>
  </si>
  <si>
    <t>Medienos skiedrų poreikis</t>
  </si>
  <si>
    <t>Suskystintų dujų katilo NVK</t>
  </si>
  <si>
    <t>t/metus</t>
  </si>
  <si>
    <t xml:space="preserve">Išlaidos medienos skiedroms pirkti </t>
  </si>
  <si>
    <t>Tūkst.Lt/metus</t>
  </si>
  <si>
    <t>Instaliuota elektros galia</t>
  </si>
  <si>
    <t>Elektros kaina</t>
  </si>
  <si>
    <t>Cirkuliaciniams siurbliams ir kt.</t>
  </si>
  <si>
    <t>kWh/metus</t>
  </si>
  <si>
    <t>Išlaidos elektros energijai</t>
  </si>
  <si>
    <t>Lt/metus</t>
  </si>
  <si>
    <t xml:space="preserve">Vieno darbuotojo darbo užmokesčio fondas (su soc. draudimu) </t>
  </si>
  <si>
    <t>Darbuotojo mėnesinis atlyginimas brutto</t>
  </si>
  <si>
    <t>Lt/mėn</t>
  </si>
  <si>
    <t>Sutaupymai:</t>
  </si>
  <si>
    <t>Sutaupyta suskystintų dujų</t>
  </si>
  <si>
    <t>Sutaupytų suskystintų dujų vertė</t>
  </si>
  <si>
    <t xml:space="preserve">Išlaidos jungties tarp Ievos kalno ir Rėzos sistemų statybai </t>
  </si>
  <si>
    <t xml:space="preserve">Juodkrantės Rėzos katilinė rekonstruojama, praplečiant katilinės pastatą ir įrengiant vieną 140 kW galios medienos skiedrų katilą „Kalvis140M1“ ir skiedrų sandėlį. Dūmų išmetimui panaudojamas esamas katilinės kaminas, priimant, kad vienu metu medžio skiedrų katilas ir suskystintų dujų katilai nedirbs. Ievos kalno šilumos tiekimo sistema sujungiama su Rėzos sistema, nutiesiant 100 m ilgio jungiantįjį vamzdyną. </t>
  </si>
  <si>
    <t>Medienos skiedrų katilo „Kalvis140M1“ nominali galia</t>
  </si>
  <si>
    <t>Katilinės pastato praplėtimo darbai (įskaitant dūmų valymo įrenginį)</t>
  </si>
  <si>
    <t>Medienos skiedrų katilas 140 kW galios</t>
  </si>
  <si>
    <t xml:space="preserve">1 kWh pagamintos šilumos savikaina       (bazinio varianto savikainos pokytis) </t>
  </si>
  <si>
    <t>Pagaminta šilumos medienos skiedrų katilu</t>
  </si>
  <si>
    <t xml:space="preserve">   tas pats, įvertinus 40 m. tinklo gyvenimo laikotarpį</t>
  </si>
  <si>
    <t>1 finansavimo planas</t>
  </si>
  <si>
    <t>2 finansavimo planas</t>
  </si>
  <si>
    <t>3 finansavimo planas</t>
  </si>
  <si>
    <t>4 finansavimo planas</t>
  </si>
  <si>
    <t>5 finansavimo planas</t>
  </si>
  <si>
    <t>Paskola</t>
  </si>
  <si>
    <t>Paskolos administravimo mokestis (1% nuo paskolos sumos)</t>
  </si>
  <si>
    <t>Paskolos aptarnavimas (grąžinimai + 8% palūkanos)</t>
  </si>
  <si>
    <t>Paskolos aptarnavimas (grąžinimai + 10% palūkanos)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</si>
</sst>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s>
  <fonts count="51">
    <font>
      <sz val="10"/>
      <name val="Arial"/>
      <family val="0"/>
    </font>
    <font>
      <sz val="12"/>
      <name val="Arial"/>
      <family val="0"/>
    </font>
    <font>
      <sz val="14"/>
      <name val="Arial"/>
      <family val="0"/>
    </font>
    <font>
      <sz val="8"/>
      <name val="Arial"/>
      <family val="0"/>
    </font>
    <font>
      <sz val="11"/>
      <name val="Arial"/>
      <family val="2"/>
    </font>
    <font>
      <b/>
      <sz val="10"/>
      <name val="Arial"/>
      <family val="2"/>
    </font>
    <font>
      <i/>
      <sz val="10"/>
      <name val="Arial"/>
      <family val="2"/>
    </font>
    <font>
      <u val="single"/>
      <sz val="10"/>
      <name val="Arial"/>
      <family val="0"/>
    </font>
    <font>
      <i/>
      <sz val="12"/>
      <name val="Arial"/>
      <family val="2"/>
    </font>
    <font>
      <sz val="8"/>
      <name val="Tahoma"/>
      <family val="0"/>
    </font>
    <font>
      <b/>
      <sz val="8"/>
      <name val="Tahoma"/>
      <family val="2"/>
    </font>
    <font>
      <sz val="10"/>
      <color indexed="40"/>
      <name val="Arial"/>
      <family val="0"/>
    </font>
    <font>
      <b/>
      <sz val="12"/>
      <name val="Arial"/>
      <family val="2"/>
    </font>
    <font>
      <i/>
      <sz val="14"/>
      <color indexed="12"/>
      <name val="Arial"/>
      <family val="2"/>
    </font>
    <font>
      <sz val="16"/>
      <name val="Arial"/>
      <family val="0"/>
    </font>
    <font>
      <sz val="11"/>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double"/>
      <top style="double"/>
      <bottom style="double"/>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double"/>
      <bottom style="double"/>
    </border>
    <border>
      <left style="thin"/>
      <right style="double"/>
      <top style="medium"/>
      <bottom style="double"/>
    </border>
    <border>
      <left style="hair"/>
      <right>
        <color indexed="63"/>
      </right>
      <top style="double"/>
      <bottom style="double"/>
    </border>
    <border>
      <left style="medium"/>
      <right style="medium"/>
      <top style="medium"/>
      <bottom style="thin"/>
    </border>
    <border>
      <left style="medium"/>
      <right style="medium"/>
      <top style="thin"/>
      <bottom style="medium"/>
    </border>
    <border>
      <left style="double"/>
      <right style="hair"/>
      <top style="double"/>
      <bottom style="double"/>
    </border>
    <border>
      <left style="double"/>
      <right style="double"/>
      <top style="double"/>
      <bottom style="double"/>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6" fillId="0" borderId="3" applyNumberFormat="0" applyFill="0" applyAlignment="0" applyProtection="0"/>
    <xf numFmtId="0" fontId="36"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4" applyNumberFormat="0" applyAlignment="0" applyProtection="0"/>
    <xf numFmtId="0" fontId="42"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6"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22" borderId="5"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0" fillId="0" borderId="0" xfId="0" applyFont="1" applyAlignment="1">
      <alignment/>
    </xf>
    <xf numFmtId="0" fontId="0" fillId="0" borderId="0" xfId="0" applyFont="1" applyAlignment="1">
      <alignment wrapText="1"/>
    </xf>
    <xf numFmtId="0" fontId="11"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3" borderId="12" xfId="0" applyFill="1" applyBorder="1" applyAlignment="1">
      <alignment wrapText="1"/>
    </xf>
    <xf numFmtId="0" fontId="8" fillId="33" borderId="12" xfId="0" applyFont="1"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Alignment="1">
      <alignment wrapText="1"/>
    </xf>
    <xf numFmtId="0" fontId="0" fillId="0" borderId="14" xfId="0" applyBorder="1" applyAlignment="1">
      <alignment/>
    </xf>
    <xf numFmtId="0" fontId="4" fillId="33" borderId="15" xfId="0" applyFont="1" applyFill="1" applyBorder="1" applyAlignment="1">
      <alignment/>
    </xf>
    <xf numFmtId="0" fontId="13" fillId="33" borderId="0" xfId="0" applyFont="1" applyFill="1" applyAlignment="1">
      <alignment/>
    </xf>
    <xf numFmtId="0" fontId="0" fillId="34" borderId="0" xfId="0" applyFill="1" applyAlignment="1">
      <alignment/>
    </xf>
    <xf numFmtId="0" fontId="0" fillId="0" borderId="0" xfId="0" applyFill="1" applyBorder="1" applyAlignment="1">
      <alignment horizontal="center"/>
    </xf>
    <xf numFmtId="0" fontId="15" fillId="33"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Border="1" applyAlignment="1">
      <alignment horizontal="center"/>
    </xf>
    <xf numFmtId="0" fontId="0" fillId="33" borderId="17" xfId="0" applyFont="1" applyFill="1" applyBorder="1" applyAlignment="1">
      <alignment horizontal="center" vertical="top"/>
    </xf>
    <xf numFmtId="0" fontId="0" fillId="0" borderId="0" xfId="0" applyBorder="1" applyAlignment="1">
      <alignment horizontal="left" vertical="top"/>
    </xf>
    <xf numFmtId="0" fontId="1" fillId="33" borderId="18" xfId="0" applyFont="1" applyFill="1" applyBorder="1" applyAlignment="1">
      <alignment horizontal="center"/>
    </xf>
    <xf numFmtId="0" fontId="0" fillId="33" borderId="13" xfId="0" applyFill="1" applyBorder="1" applyAlignment="1">
      <alignment horizontal="center"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0" borderId="0" xfId="0" applyFont="1" applyBorder="1" applyAlignment="1">
      <alignment horizontal="right" vertical="top"/>
    </xf>
    <xf numFmtId="0" fontId="0" fillId="36" borderId="0" xfId="0" applyFont="1" applyFill="1" applyAlignment="1">
      <alignment/>
    </xf>
    <xf numFmtId="0" fontId="0" fillId="36" borderId="0" xfId="0" applyFont="1" applyFill="1" applyBorder="1" applyAlignment="1">
      <alignment horizontal="center" vertical="top"/>
    </xf>
    <xf numFmtId="0" fontId="0" fillId="36" borderId="0" xfId="0" applyFont="1" applyFill="1" applyBorder="1" applyAlignment="1">
      <alignment horizontal="right" vertical="top"/>
    </xf>
    <xf numFmtId="0" fontId="0" fillId="36" borderId="0" xfId="0" applyFill="1" applyAlignment="1">
      <alignment/>
    </xf>
    <xf numFmtId="0" fontId="0" fillId="36" borderId="0" xfId="0" applyFill="1" applyAlignment="1">
      <alignment horizontal="center"/>
    </xf>
    <xf numFmtId="172" fontId="0" fillId="36" borderId="0" xfId="0" applyNumberFormat="1" applyFill="1" applyAlignment="1">
      <alignment/>
    </xf>
    <xf numFmtId="2" fontId="0" fillId="36" borderId="0" xfId="0" applyNumberFormat="1" applyFill="1" applyAlignment="1">
      <alignment/>
    </xf>
    <xf numFmtId="2" fontId="0" fillId="0" borderId="0" xfId="0" applyNumberFormat="1" applyAlignment="1">
      <alignment/>
    </xf>
    <xf numFmtId="2" fontId="0" fillId="35" borderId="0" xfId="0" applyNumberFormat="1" applyFill="1" applyAlignment="1">
      <alignment/>
    </xf>
    <xf numFmtId="0" fontId="0" fillId="0" borderId="0" xfId="0" applyFont="1" applyFill="1" applyBorder="1" applyAlignment="1">
      <alignment horizontal="right" vertical="top"/>
    </xf>
    <xf numFmtId="0" fontId="5" fillId="36" borderId="0" xfId="0" applyFont="1" applyFill="1" applyAlignment="1">
      <alignment/>
    </xf>
    <xf numFmtId="0" fontId="0" fillId="35" borderId="0" xfId="0" applyFont="1" applyFill="1" applyBorder="1" applyAlignment="1">
      <alignment horizontal="right" vertical="top"/>
    </xf>
    <xf numFmtId="0" fontId="12" fillId="33" borderId="21" xfId="0" applyFont="1" applyFill="1" applyBorder="1" applyAlignment="1">
      <alignment wrapText="1"/>
    </xf>
    <xf numFmtId="0" fontId="14" fillId="35" borderId="0" xfId="0" applyFont="1" applyFill="1" applyBorder="1" applyAlignment="1">
      <alignment vertical="top"/>
    </xf>
    <xf numFmtId="0" fontId="0" fillId="0" borderId="0" xfId="0" applyAlignment="1">
      <alignment/>
    </xf>
    <xf numFmtId="0" fontId="0" fillId="37" borderId="0" xfId="0" applyFill="1" applyAlignment="1">
      <alignment/>
    </xf>
    <xf numFmtId="2" fontId="0" fillId="37" borderId="0" xfId="0" applyNumberFormat="1" applyFill="1" applyAlignment="1">
      <alignment/>
    </xf>
    <xf numFmtId="0" fontId="0" fillId="37" borderId="0" xfId="0" applyFont="1" applyFill="1" applyAlignment="1">
      <alignment wrapText="1"/>
    </xf>
    <xf numFmtId="0" fontId="0" fillId="37" borderId="0" xfId="0" applyFill="1" applyAlignment="1">
      <alignment horizontal="center"/>
    </xf>
    <xf numFmtId="0" fontId="0" fillId="37" borderId="0" xfId="0" applyFill="1" applyBorder="1" applyAlignment="1">
      <alignment/>
    </xf>
    <xf numFmtId="2" fontId="0" fillId="37" borderId="0" xfId="0" applyNumberFormat="1" applyFill="1" applyBorder="1" applyAlignment="1">
      <alignment/>
    </xf>
    <xf numFmtId="0" fontId="0" fillId="37" borderId="0" xfId="0" applyFont="1" applyFill="1" applyAlignment="1">
      <alignment vertical="center" wrapText="1"/>
    </xf>
    <xf numFmtId="173" fontId="1" fillId="33" borderId="22" xfId="0" applyNumberFormat="1" applyFont="1" applyFill="1" applyBorder="1" applyAlignment="1">
      <alignment/>
    </xf>
    <xf numFmtId="0" fontId="14" fillId="35" borderId="0" xfId="0" applyFont="1" applyFill="1" applyBorder="1" applyAlignment="1">
      <alignment vertical="top"/>
    </xf>
    <xf numFmtId="0" fontId="0" fillId="0" borderId="0" xfId="0" applyAlignment="1">
      <alignment/>
    </xf>
    <xf numFmtId="0" fontId="14" fillId="35" borderId="23" xfId="0" applyFont="1" applyFill="1" applyBorder="1" applyAlignment="1">
      <alignment vertical="top"/>
    </xf>
    <xf numFmtId="0" fontId="0" fillId="0" borderId="0" xfId="0" applyBorder="1" applyAlignment="1">
      <alignment vertical="top"/>
    </xf>
    <xf numFmtId="0" fontId="1" fillId="0" borderId="24"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4" fillId="33" borderId="27" xfId="0" applyFont="1" applyFill="1" applyBorder="1" applyAlignment="1">
      <alignment horizontal="left" vertical="top"/>
    </xf>
    <xf numFmtId="0" fontId="4" fillId="0" borderId="28" xfId="0" applyFont="1" applyBorder="1" applyAlignment="1">
      <alignment vertical="top"/>
    </xf>
    <xf numFmtId="0" fontId="4" fillId="0" borderId="29" xfId="0" applyFont="1" applyBorder="1" applyAlignment="1">
      <alignment vertical="top"/>
    </xf>
    <xf numFmtId="0" fontId="0" fillId="0" borderId="30" xfId="0" applyFont="1" applyFill="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Font="1" applyFill="1"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top"/>
    </xf>
    <xf numFmtId="0" fontId="0" fillId="0" borderId="0" xfId="0" applyAlignment="1">
      <alignment horizontal="left" vertical="top"/>
    </xf>
    <xf numFmtId="0" fontId="0" fillId="0" borderId="33" xfId="0" applyFont="1" applyFill="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74"/>
  <sheetViews>
    <sheetView tabSelected="1" zoomScalePageLayoutView="0" workbookViewId="0" topLeftCell="A50">
      <selection activeCell="C74" sqref="C7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28</v>
      </c>
      <c r="B2" s="66"/>
      <c r="C2" s="66"/>
      <c r="D2" s="66"/>
      <c r="E2" s="1"/>
    </row>
    <row r="3" spans="1:5" ht="24" customHeight="1">
      <c r="A3" s="55" t="s">
        <v>76</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69</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70</v>
      </c>
      <c r="B8" s="76"/>
      <c r="C8" s="77"/>
      <c r="D8" s="33" t="s">
        <v>31</v>
      </c>
      <c r="E8" s="51">
        <v>140</v>
      </c>
      <c r="F8" s="32"/>
      <c r="G8" s="32"/>
      <c r="H8" s="32"/>
      <c r="I8" s="32"/>
    </row>
    <row r="9" spans="1:9" ht="15" customHeight="1">
      <c r="A9" s="78" t="s">
        <v>32</v>
      </c>
      <c r="B9" s="79"/>
      <c r="C9" s="80"/>
      <c r="D9" s="33" t="s">
        <v>30</v>
      </c>
      <c r="E9" s="51">
        <v>30</v>
      </c>
      <c r="F9" s="32"/>
      <c r="G9" s="32"/>
      <c r="H9" s="32"/>
      <c r="I9" s="32"/>
    </row>
    <row r="10" spans="1:9" ht="15" customHeight="1">
      <c r="A10" s="78" t="s">
        <v>71</v>
      </c>
      <c r="B10" s="81"/>
      <c r="C10" s="80"/>
      <c r="D10" s="33" t="s">
        <v>30</v>
      </c>
      <c r="E10" s="53">
        <v>100</v>
      </c>
      <c r="F10" s="32"/>
      <c r="G10" s="32"/>
      <c r="H10" s="32"/>
      <c r="I10" s="32"/>
    </row>
    <row r="11" spans="1:9" ht="15" customHeight="1">
      <c r="A11" s="78" t="s">
        <v>33</v>
      </c>
      <c r="B11" s="79"/>
      <c r="C11" s="80"/>
      <c r="D11" s="33" t="s">
        <v>34</v>
      </c>
      <c r="E11" s="41">
        <v>0.25</v>
      </c>
      <c r="F11" s="32"/>
      <c r="G11" s="32"/>
      <c r="H11" s="32"/>
      <c r="I11" s="32"/>
    </row>
    <row r="12" spans="1:9" ht="15" customHeight="1">
      <c r="A12" s="78" t="s">
        <v>44</v>
      </c>
      <c r="B12" s="81"/>
      <c r="C12" s="80"/>
      <c r="D12" s="33" t="s">
        <v>43</v>
      </c>
      <c r="E12" s="41">
        <v>2126</v>
      </c>
      <c r="F12" s="32"/>
      <c r="G12" s="32"/>
      <c r="H12" s="32"/>
      <c r="I12" s="32"/>
    </row>
    <row r="13" spans="1:9" ht="15" customHeight="1">
      <c r="A13" s="78" t="s">
        <v>35</v>
      </c>
      <c r="B13" s="79"/>
      <c r="C13" s="80"/>
      <c r="D13" s="33" t="s">
        <v>36</v>
      </c>
      <c r="E13" s="51">
        <v>10</v>
      </c>
      <c r="F13" s="32"/>
      <c r="G13" s="32"/>
      <c r="H13" s="32"/>
      <c r="I13" s="32"/>
    </row>
    <row r="14" spans="1:9" ht="15" customHeight="1">
      <c r="A14" s="78" t="s">
        <v>49</v>
      </c>
      <c r="B14" s="81"/>
      <c r="C14" s="80"/>
      <c r="D14" s="33" t="s">
        <v>3</v>
      </c>
      <c r="E14" s="41">
        <v>80</v>
      </c>
      <c r="F14" s="32"/>
      <c r="G14" s="32"/>
      <c r="H14" s="32"/>
      <c r="I14" s="32"/>
    </row>
    <row r="15" spans="1:9" ht="15" customHeight="1">
      <c r="A15" s="78" t="s">
        <v>50</v>
      </c>
      <c r="B15" s="81"/>
      <c r="C15" s="80"/>
      <c r="D15" s="33" t="s">
        <v>3</v>
      </c>
      <c r="E15" s="41">
        <v>70</v>
      </c>
      <c r="F15" s="32"/>
      <c r="G15" s="32"/>
      <c r="H15" s="32"/>
      <c r="I15" s="32"/>
    </row>
    <row r="16" spans="1:9" ht="15" customHeight="1">
      <c r="A16" s="78" t="s">
        <v>37</v>
      </c>
      <c r="B16" s="79"/>
      <c r="C16" s="80"/>
      <c r="D16" s="33" t="s">
        <v>38</v>
      </c>
      <c r="E16" s="41">
        <v>1785</v>
      </c>
      <c r="F16" s="32"/>
      <c r="G16" s="32"/>
      <c r="H16" s="32"/>
      <c r="I16" s="32"/>
    </row>
    <row r="17" spans="1:9" ht="15" customHeight="1">
      <c r="A17" s="78" t="s">
        <v>39</v>
      </c>
      <c r="B17" s="79"/>
      <c r="C17" s="80"/>
      <c r="D17" s="33" t="s">
        <v>41</v>
      </c>
      <c r="E17" s="41">
        <v>186</v>
      </c>
      <c r="F17" s="32"/>
      <c r="G17" s="32"/>
      <c r="H17" s="32"/>
      <c r="I17" s="32"/>
    </row>
    <row r="18" spans="1:9" ht="15" customHeight="1">
      <c r="A18" s="78" t="s">
        <v>40</v>
      </c>
      <c r="B18" s="79"/>
      <c r="C18" s="80"/>
      <c r="D18" s="33" t="s">
        <v>41</v>
      </c>
      <c r="E18" s="41">
        <f>365-E17</f>
        <v>179</v>
      </c>
      <c r="F18" s="32"/>
      <c r="G18" s="32"/>
      <c r="H18" s="32"/>
      <c r="I18" s="32"/>
    </row>
    <row r="19" spans="1:9" ht="15" customHeight="1">
      <c r="A19" s="78" t="s">
        <v>42</v>
      </c>
      <c r="B19" s="79"/>
      <c r="C19" s="80"/>
      <c r="D19" s="33" t="s">
        <v>30</v>
      </c>
      <c r="E19" s="41">
        <v>80</v>
      </c>
      <c r="F19" s="32"/>
      <c r="G19" s="32"/>
      <c r="H19" s="32"/>
      <c r="I19" s="32"/>
    </row>
    <row r="20" spans="1:9" ht="15" customHeight="1">
      <c r="A20" s="78" t="s">
        <v>52</v>
      </c>
      <c r="B20" s="81"/>
      <c r="C20" s="80"/>
      <c r="D20" s="33" t="s">
        <v>3</v>
      </c>
      <c r="E20" s="41">
        <v>88</v>
      </c>
      <c r="F20" s="32"/>
      <c r="G20" s="32"/>
      <c r="H20" s="32"/>
      <c r="I20" s="32"/>
    </row>
    <row r="21" spans="1:9" ht="15" customHeight="1">
      <c r="A21" s="78" t="s">
        <v>45</v>
      </c>
      <c r="B21" s="79"/>
      <c r="C21" s="80"/>
      <c r="D21" s="33" t="s">
        <v>43</v>
      </c>
      <c r="E21" s="41">
        <v>11000</v>
      </c>
      <c r="F21" s="32"/>
      <c r="G21" s="32"/>
      <c r="H21" s="32"/>
      <c r="I21" s="32"/>
    </row>
    <row r="22" spans="1:9" ht="15" customHeight="1">
      <c r="A22" s="78" t="s">
        <v>56</v>
      </c>
      <c r="B22" s="79"/>
      <c r="C22" s="80"/>
      <c r="D22" s="33" t="s">
        <v>31</v>
      </c>
      <c r="E22" s="41">
        <v>2</v>
      </c>
      <c r="F22" s="32"/>
      <c r="G22" s="32"/>
      <c r="H22" s="32"/>
      <c r="I22" s="32"/>
    </row>
    <row r="23" spans="1:9" ht="15" customHeight="1">
      <c r="A23" s="78" t="s">
        <v>57</v>
      </c>
      <c r="B23" s="79"/>
      <c r="C23" s="80"/>
      <c r="D23" s="33" t="s">
        <v>8</v>
      </c>
      <c r="E23" s="41">
        <v>36.4</v>
      </c>
      <c r="F23" s="32"/>
      <c r="G23" s="32"/>
      <c r="H23" s="32"/>
      <c r="I23" s="32"/>
    </row>
    <row r="24" spans="1:9" ht="15" customHeight="1">
      <c r="A24" s="78" t="s">
        <v>63</v>
      </c>
      <c r="B24" s="79"/>
      <c r="C24" s="80"/>
      <c r="D24" s="33" t="s">
        <v>64</v>
      </c>
      <c r="E24" s="41">
        <v>1800</v>
      </c>
      <c r="F24" s="32"/>
      <c r="G24" s="32"/>
      <c r="H24" s="32"/>
      <c r="I24" s="32"/>
    </row>
    <row r="25" spans="1:9" ht="15" customHeight="1">
      <c r="A25" s="78"/>
      <c r="B25" s="79"/>
      <c r="C25" s="80"/>
      <c r="D25" s="32"/>
      <c r="E25" s="41"/>
      <c r="F25" s="32"/>
      <c r="G25" s="32"/>
      <c r="H25" s="32"/>
      <c r="I25" s="32"/>
    </row>
    <row r="26" spans="1:9" ht="15" customHeight="1" thickBot="1">
      <c r="A26" s="82"/>
      <c r="B26" s="83"/>
      <c r="C26" s="84"/>
      <c r="D26" s="32"/>
      <c r="E26" s="32"/>
      <c r="F26" s="32"/>
      <c r="G26" s="32"/>
      <c r="H26" s="32"/>
      <c r="I26" s="32"/>
    </row>
    <row r="27" spans="1:9" ht="15" customHeight="1" thickBot="1">
      <c r="A27" s="31"/>
      <c r="B27" s="36"/>
      <c r="C27" s="36"/>
      <c r="D27" s="32"/>
      <c r="E27" s="32"/>
      <c r="F27" s="32"/>
      <c r="G27" s="32"/>
      <c r="H27" s="32"/>
      <c r="I27" s="32"/>
    </row>
    <row r="28" spans="1:3" ht="14.25" thickBot="1" thickTop="1">
      <c r="A28" s="34" t="s">
        <v>0</v>
      </c>
      <c r="B28" s="3" t="s">
        <v>1</v>
      </c>
      <c r="C28" s="2"/>
    </row>
    <row r="29" spans="1:3" ht="25.5" customHeight="1" thickTop="1">
      <c r="A29" s="18" t="s">
        <v>22</v>
      </c>
      <c r="B29" s="38" t="s">
        <v>6</v>
      </c>
      <c r="C29" s="39">
        <f>E13</f>
        <v>10</v>
      </c>
    </row>
    <row r="30" spans="1:54" ht="15" thickBot="1">
      <c r="A30" s="16" t="s">
        <v>2</v>
      </c>
      <c r="B30" s="38" t="s">
        <v>3</v>
      </c>
      <c r="C30" s="40">
        <v>8</v>
      </c>
      <c r="D30" s="14">
        <v>1</v>
      </c>
      <c r="E30" s="14">
        <f>1/(1+C30/100)</f>
        <v>0.9259259259259258</v>
      </c>
      <c r="F30" s="14">
        <f aca="true" t="shared" si="0" ref="F30:AK30">E30/(1+$C30/100)</f>
        <v>0.8573388203017831</v>
      </c>
      <c r="G30" s="14">
        <f t="shared" si="0"/>
        <v>0.7938322410201695</v>
      </c>
      <c r="H30" s="14">
        <f t="shared" si="0"/>
        <v>0.7350298527964532</v>
      </c>
      <c r="I30" s="14">
        <f t="shared" si="0"/>
        <v>0.6805831970337529</v>
      </c>
      <c r="J30" s="14">
        <f t="shared" si="0"/>
        <v>0.6301696268831045</v>
      </c>
      <c r="K30" s="14">
        <f t="shared" si="0"/>
        <v>0.5834903952621338</v>
      </c>
      <c r="L30" s="14">
        <f t="shared" si="0"/>
        <v>0.5402688845019756</v>
      </c>
      <c r="M30" s="14">
        <f t="shared" si="0"/>
        <v>0.5002489671314588</v>
      </c>
      <c r="N30" s="14">
        <f t="shared" si="0"/>
        <v>0.4631934880846841</v>
      </c>
      <c r="O30" s="14">
        <f t="shared" si="0"/>
        <v>0.4288828593376704</v>
      </c>
      <c r="P30" s="14">
        <f t="shared" si="0"/>
        <v>0.3971137586459911</v>
      </c>
      <c r="Q30" s="14">
        <f t="shared" si="0"/>
        <v>0.36769792467221396</v>
      </c>
      <c r="R30" s="14">
        <f t="shared" si="0"/>
        <v>0.3404610413631611</v>
      </c>
      <c r="S30" s="14">
        <f t="shared" si="0"/>
        <v>0.3152417049658899</v>
      </c>
      <c r="T30" s="14">
        <f t="shared" si="0"/>
        <v>0.2918904675610091</v>
      </c>
      <c r="U30" s="14">
        <f t="shared" si="0"/>
        <v>0.27026895144537877</v>
      </c>
      <c r="V30" s="14">
        <f t="shared" si="0"/>
        <v>0.2502490291160914</v>
      </c>
      <c r="W30" s="14">
        <f t="shared" si="0"/>
        <v>0.23171206399638095</v>
      </c>
      <c r="X30" s="14">
        <f t="shared" si="0"/>
        <v>0.21454820740405642</v>
      </c>
      <c r="Y30" s="14">
        <f t="shared" si="0"/>
        <v>0.19865574759634852</v>
      </c>
      <c r="Z30" s="14">
        <f t="shared" si="0"/>
        <v>0.18394050703365603</v>
      </c>
      <c r="AA30" s="14">
        <f t="shared" si="0"/>
        <v>0.17031528429042223</v>
      </c>
      <c r="AB30" s="14">
        <f t="shared" si="0"/>
        <v>0.15769933730594649</v>
      </c>
      <c r="AC30" s="14">
        <f t="shared" si="0"/>
        <v>0.14601790491291342</v>
      </c>
      <c r="AD30" s="14">
        <f t="shared" si="0"/>
        <v>0.13520176380825316</v>
      </c>
      <c r="AE30" s="14">
        <f t="shared" si="0"/>
        <v>0.12518681834097514</v>
      </c>
      <c r="AF30" s="14">
        <f t="shared" si="0"/>
        <v>0.11591372068608809</v>
      </c>
      <c r="AG30" s="14">
        <f t="shared" si="0"/>
        <v>0.10732751915378526</v>
      </c>
      <c r="AH30" s="14">
        <f t="shared" si="0"/>
        <v>0.09937733254980116</v>
      </c>
      <c r="AI30" s="14">
        <f t="shared" si="0"/>
        <v>0.09201604865722329</v>
      </c>
      <c r="AJ30" s="14">
        <f t="shared" si="0"/>
        <v>0.08520004505298452</v>
      </c>
      <c r="AK30" s="14">
        <f t="shared" si="0"/>
        <v>0.0788889306046153</v>
      </c>
      <c r="AL30" s="14">
        <f aca="true" t="shared" si="1" ref="AL30:BB30">AK30/(1+$C30/100)</f>
        <v>0.07304530611538453</v>
      </c>
      <c r="AM30" s="14">
        <f t="shared" si="1"/>
        <v>0.06763454269943012</v>
      </c>
      <c r="AN30" s="14">
        <f t="shared" si="1"/>
        <v>0.0626245765735464</v>
      </c>
      <c r="AO30" s="14">
        <f t="shared" si="1"/>
        <v>0.057985719049580005</v>
      </c>
      <c r="AP30" s="14">
        <f t="shared" si="1"/>
        <v>0.05369048060146296</v>
      </c>
      <c r="AQ30" s="14">
        <f t="shared" si="1"/>
        <v>0.04971340796431755</v>
      </c>
      <c r="AR30" s="14">
        <f t="shared" si="1"/>
        <v>0.04603093330029402</v>
      </c>
      <c r="AS30" s="14">
        <f t="shared" si="1"/>
        <v>0.042621234537309274</v>
      </c>
      <c r="AT30" s="14">
        <f t="shared" si="1"/>
        <v>0.03946410605306414</v>
      </c>
      <c r="AU30" s="14">
        <f t="shared" si="1"/>
        <v>0.03654083893802235</v>
      </c>
      <c r="AV30" s="14">
        <f t="shared" si="1"/>
        <v>0.033834110127798474</v>
      </c>
      <c r="AW30" s="14">
        <f t="shared" si="1"/>
        <v>0.03132787974796155</v>
      </c>
      <c r="AX30" s="14">
        <f t="shared" si="1"/>
        <v>0.02900729606292736</v>
      </c>
      <c r="AY30" s="14">
        <f t="shared" si="1"/>
        <v>0.02685860746567348</v>
      </c>
      <c r="AZ30" s="14">
        <f t="shared" si="1"/>
        <v>0.0248690809867347</v>
      </c>
      <c r="BA30" s="14">
        <f t="shared" si="1"/>
        <v>0.023026926839569164</v>
      </c>
      <c r="BB30" s="14">
        <f t="shared" si="1"/>
        <v>0.02132122855515663</v>
      </c>
    </row>
    <row r="31" ht="15" thickBot="1">
      <c r="D31" s="28" t="s">
        <v>5</v>
      </c>
    </row>
    <row r="32" spans="1:54" ht="15.75" thickBot="1">
      <c r="A32" s="19" t="s">
        <v>21</v>
      </c>
      <c r="B32" s="17" t="s">
        <v>17</v>
      </c>
      <c r="C32" s="15">
        <f>C33+C49</f>
        <v>248651.92299035372</v>
      </c>
      <c r="D32" s="28">
        <v>0</v>
      </c>
      <c r="E32" s="28">
        <f aca="true" t="shared" si="2" ref="E32:AJ32">IF(D32&lt;$C29,D32+1,"")</f>
        <v>1</v>
      </c>
      <c r="F32" s="28">
        <f t="shared" si="2"/>
        <v>2</v>
      </c>
      <c r="G32" s="28">
        <f t="shared" si="2"/>
        <v>3</v>
      </c>
      <c r="H32" s="28">
        <f t="shared" si="2"/>
        <v>4</v>
      </c>
      <c r="I32" s="28">
        <f t="shared" si="2"/>
        <v>5</v>
      </c>
      <c r="J32" s="28">
        <f t="shared" si="2"/>
        <v>6</v>
      </c>
      <c r="K32" s="28">
        <f t="shared" si="2"/>
        <v>7</v>
      </c>
      <c r="L32" s="28">
        <f t="shared" si="2"/>
        <v>8</v>
      </c>
      <c r="M32" s="28">
        <f t="shared" si="2"/>
        <v>9</v>
      </c>
      <c r="N32" s="28">
        <f t="shared" si="2"/>
        <v>10</v>
      </c>
      <c r="O32" s="28">
        <f t="shared" si="2"/>
      </c>
      <c r="P32" s="28">
        <f t="shared" si="2"/>
      </c>
      <c r="Q32" s="28">
        <f t="shared" si="2"/>
      </c>
      <c r="R32" s="28">
        <f t="shared" si="2"/>
      </c>
      <c r="S32" s="28">
        <f t="shared" si="2"/>
      </c>
      <c r="T32" s="28">
        <f t="shared" si="2"/>
      </c>
      <c r="U32" s="28">
        <f t="shared" si="2"/>
      </c>
      <c r="V32" s="28">
        <f t="shared" si="2"/>
      </c>
      <c r="W32" s="28">
        <f t="shared" si="2"/>
      </c>
      <c r="X32" s="28">
        <f t="shared" si="2"/>
      </c>
      <c r="Y32" s="28">
        <f t="shared" si="2"/>
      </c>
      <c r="Z32" s="28">
        <f t="shared" si="2"/>
      </c>
      <c r="AA32" s="28">
        <f t="shared" si="2"/>
      </c>
      <c r="AB32" s="28">
        <f t="shared" si="2"/>
      </c>
      <c r="AC32" s="28">
        <f t="shared" si="2"/>
      </c>
      <c r="AD32" s="28">
        <f t="shared" si="2"/>
      </c>
      <c r="AE32" s="28">
        <f t="shared" si="2"/>
      </c>
      <c r="AF32" s="28">
        <f t="shared" si="2"/>
      </c>
      <c r="AG32" s="28">
        <f t="shared" si="2"/>
      </c>
      <c r="AH32" s="28">
        <f t="shared" si="2"/>
      </c>
      <c r="AI32" s="28">
        <f t="shared" si="2"/>
      </c>
      <c r="AJ32" s="28">
        <f t="shared" si="2"/>
      </c>
      <c r="AK32" s="28">
        <f aca="true" t="shared" si="3" ref="AK32:BB32">IF(AJ32&lt;$C29,AJ32+1,"")</f>
      </c>
      <c r="AL32" s="28">
        <f t="shared" si="3"/>
      </c>
      <c r="AM32" s="28">
        <f t="shared" si="3"/>
      </c>
      <c r="AN32" s="28">
        <f t="shared" si="3"/>
      </c>
      <c r="AO32" s="28">
        <f t="shared" si="3"/>
      </c>
      <c r="AP32" s="28">
        <f t="shared" si="3"/>
      </c>
      <c r="AQ32" s="28">
        <f t="shared" si="3"/>
      </c>
      <c r="AR32" s="28">
        <f t="shared" si="3"/>
      </c>
      <c r="AS32" s="28">
        <f t="shared" si="3"/>
      </c>
      <c r="AT32" s="28">
        <f t="shared" si="3"/>
      </c>
      <c r="AU32" s="28">
        <f t="shared" si="3"/>
      </c>
      <c r="AV32" s="28">
        <f t="shared" si="3"/>
      </c>
      <c r="AW32" s="28">
        <f t="shared" si="3"/>
      </c>
      <c r="AX32" s="28">
        <f t="shared" si="3"/>
      </c>
      <c r="AY32" s="28">
        <f t="shared" si="3"/>
      </c>
      <c r="AZ32" s="28">
        <f t="shared" si="3"/>
      </c>
      <c r="BA32" s="28">
        <f t="shared" si="3"/>
      </c>
      <c r="BB32" s="28">
        <f t="shared" si="3"/>
      </c>
    </row>
    <row r="33" spans="1:54" ht="19.5" thickBot="1">
      <c r="A33" s="25" t="s">
        <v>9</v>
      </c>
      <c r="B33" s="20" t="s">
        <v>17</v>
      </c>
      <c r="C33" s="15">
        <f>SUM(D33:BB33)</f>
        <v>175016.68078378425</v>
      </c>
      <c r="D33" s="26">
        <f aca="true" t="shared" si="4" ref="D33:AI33">D34*D30</f>
        <v>175016.68078378425</v>
      </c>
      <c r="E33" s="26">
        <f t="shared" si="4"/>
        <v>0</v>
      </c>
      <c r="F33" s="26">
        <f t="shared" si="4"/>
        <v>0</v>
      </c>
      <c r="G33" s="26">
        <f t="shared" si="4"/>
        <v>0</v>
      </c>
      <c r="H33" s="26">
        <f t="shared" si="4"/>
        <v>0</v>
      </c>
      <c r="I33" s="26">
        <f t="shared" si="4"/>
        <v>0</v>
      </c>
      <c r="J33" s="26">
        <f t="shared" si="4"/>
        <v>0</v>
      </c>
      <c r="K33" s="26">
        <f t="shared" si="4"/>
        <v>0</v>
      </c>
      <c r="L33" s="26">
        <f t="shared" si="4"/>
        <v>0</v>
      </c>
      <c r="M33" s="26">
        <f t="shared" si="4"/>
        <v>0</v>
      </c>
      <c r="N33" s="26">
        <f t="shared" si="4"/>
        <v>0</v>
      </c>
      <c r="O33" s="26">
        <f t="shared" si="4"/>
        <v>0</v>
      </c>
      <c r="P33" s="26">
        <f t="shared" si="4"/>
        <v>0</v>
      </c>
      <c r="Q33" s="26">
        <f t="shared" si="4"/>
        <v>0</v>
      </c>
      <c r="R33" s="26">
        <f t="shared" si="4"/>
        <v>0</v>
      </c>
      <c r="S33" s="26">
        <f t="shared" si="4"/>
        <v>0</v>
      </c>
      <c r="T33" s="26">
        <f t="shared" si="4"/>
        <v>0</v>
      </c>
      <c r="U33" s="26">
        <f t="shared" si="4"/>
        <v>0</v>
      </c>
      <c r="V33" s="26">
        <f t="shared" si="4"/>
        <v>0</v>
      </c>
      <c r="W33" s="26">
        <f t="shared" si="4"/>
        <v>0</v>
      </c>
      <c r="X33" s="26">
        <f t="shared" si="4"/>
        <v>0</v>
      </c>
      <c r="Y33" s="26">
        <f t="shared" si="4"/>
        <v>0</v>
      </c>
      <c r="Z33" s="26">
        <f t="shared" si="4"/>
        <v>0</v>
      </c>
      <c r="AA33" s="26">
        <f t="shared" si="4"/>
        <v>0</v>
      </c>
      <c r="AB33" s="26">
        <f t="shared" si="4"/>
        <v>0</v>
      </c>
      <c r="AC33" s="26">
        <f t="shared" si="4"/>
        <v>0</v>
      </c>
      <c r="AD33" s="26">
        <f t="shared" si="4"/>
        <v>0</v>
      </c>
      <c r="AE33" s="26">
        <f t="shared" si="4"/>
        <v>0</v>
      </c>
      <c r="AF33" s="26">
        <f t="shared" si="4"/>
        <v>0</v>
      </c>
      <c r="AG33" s="26">
        <f t="shared" si="4"/>
        <v>0</v>
      </c>
      <c r="AH33" s="26">
        <f t="shared" si="4"/>
        <v>0</v>
      </c>
      <c r="AI33" s="26">
        <f t="shared" si="4"/>
        <v>0</v>
      </c>
      <c r="AJ33" s="26">
        <f aca="true" t="shared" si="5" ref="AJ33:BB33">AJ34*AJ30</f>
        <v>0</v>
      </c>
      <c r="AK33" s="26">
        <f t="shared" si="5"/>
        <v>0</v>
      </c>
      <c r="AL33" s="26">
        <f t="shared" si="5"/>
        <v>0</v>
      </c>
      <c r="AM33" s="26">
        <f t="shared" si="5"/>
        <v>0</v>
      </c>
      <c r="AN33" s="26">
        <f t="shared" si="5"/>
        <v>0</v>
      </c>
      <c r="AO33" s="26">
        <f t="shared" si="5"/>
        <v>0</v>
      </c>
      <c r="AP33" s="26">
        <f t="shared" si="5"/>
        <v>0</v>
      </c>
      <c r="AQ33" s="26">
        <f t="shared" si="5"/>
        <v>0</v>
      </c>
      <c r="AR33" s="26">
        <f t="shared" si="5"/>
        <v>0</v>
      </c>
      <c r="AS33" s="26">
        <f t="shared" si="5"/>
        <v>0</v>
      </c>
      <c r="AT33" s="26">
        <f t="shared" si="5"/>
        <v>0</v>
      </c>
      <c r="AU33" s="26">
        <f t="shared" si="5"/>
        <v>0</v>
      </c>
      <c r="AV33" s="26">
        <f t="shared" si="5"/>
        <v>0</v>
      </c>
      <c r="AW33" s="26">
        <f t="shared" si="5"/>
        <v>0</v>
      </c>
      <c r="AX33" s="26">
        <f t="shared" si="5"/>
        <v>0</v>
      </c>
      <c r="AY33" s="26">
        <f t="shared" si="5"/>
        <v>0</v>
      </c>
      <c r="AZ33" s="26">
        <f t="shared" si="5"/>
        <v>0</v>
      </c>
      <c r="BA33" s="26">
        <f t="shared" si="5"/>
        <v>0</v>
      </c>
      <c r="BB33" s="26">
        <f t="shared" si="5"/>
        <v>0</v>
      </c>
    </row>
    <row r="34" spans="1:54" ht="14.25" customHeight="1" thickBot="1">
      <c r="A34" s="29" t="s">
        <v>24</v>
      </c>
      <c r="B34" s="27" t="s">
        <v>17</v>
      </c>
      <c r="C34" s="15">
        <f>SUM(D34:BB34)</f>
        <v>175016.68078378425</v>
      </c>
      <c r="D34" s="50">
        <f>D36+D37+D42</f>
        <v>175016.68078378425</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 ht="12.75">
      <c r="A35" s="12" t="s">
        <v>10</v>
      </c>
      <c r="C35" s="8"/>
    </row>
    <row r="36" spans="1:4" ht="12.75">
      <c r="A36" s="42" t="s">
        <v>72</v>
      </c>
      <c r="B36" s="43" t="s">
        <v>30</v>
      </c>
      <c r="C36" s="44">
        <f>E9</f>
        <v>30</v>
      </c>
      <c r="D36">
        <f>C36*1000</f>
        <v>30000</v>
      </c>
    </row>
    <row r="37" spans="1:4" ht="12.75">
      <c r="A37" s="42" t="s">
        <v>29</v>
      </c>
      <c r="B37" s="43" t="s">
        <v>30</v>
      </c>
      <c r="C37" s="44">
        <f>E10</f>
        <v>100</v>
      </c>
      <c r="D37">
        <f>C37*1000</f>
        <v>100000</v>
      </c>
    </row>
    <row r="38" ht="12.75">
      <c r="C38" s="8"/>
    </row>
    <row r="39" ht="12.75">
      <c r="A39" s="12" t="s">
        <v>11</v>
      </c>
    </row>
    <row r="40" spans="1:3" ht="12.75">
      <c r="A40" s="45" t="s">
        <v>19</v>
      </c>
      <c r="B40" s="46" t="s">
        <v>6</v>
      </c>
      <c r="C40" s="45">
        <v>40</v>
      </c>
    </row>
    <row r="41" spans="1:3" ht="12.75">
      <c r="A41" s="45" t="s">
        <v>68</v>
      </c>
      <c r="B41" s="46" t="s">
        <v>30</v>
      </c>
      <c r="C41" s="45">
        <f>E19</f>
        <v>80</v>
      </c>
    </row>
    <row r="42" spans="1:4" ht="12.75">
      <c r="A42" s="45" t="s">
        <v>75</v>
      </c>
      <c r="B42" s="46" t="s">
        <v>30</v>
      </c>
      <c r="C42" s="48">
        <f>C41*C44</f>
        <v>45.01668078378427</v>
      </c>
      <c r="D42" s="49">
        <f>C42*1000</f>
        <v>45016.680783784264</v>
      </c>
    </row>
    <row r="43" spans="1:3" ht="12.75">
      <c r="A43" s="10" t="s">
        <v>20</v>
      </c>
      <c r="B43" s="7" t="s">
        <v>17</v>
      </c>
      <c r="C43" s="23"/>
    </row>
    <row r="44" spans="1:3" ht="14.25" customHeight="1">
      <c r="A44" s="22" t="s">
        <v>23</v>
      </c>
      <c r="B44" s="21"/>
      <c r="C44" s="16">
        <f>(1-POWER(1+C30/100,-C29))/(1-POWER(1+C30/100,-C40))</f>
        <v>0.5627085097973034</v>
      </c>
    </row>
    <row r="45" spans="1:3" ht="12.75">
      <c r="A45" s="9"/>
      <c r="B45" s="7"/>
      <c r="C45" s="11"/>
    </row>
    <row r="46" spans="1:3" ht="12.75">
      <c r="A46" s="13" t="s">
        <v>12</v>
      </c>
      <c r="C46" s="11"/>
    </row>
    <row r="47" spans="1:3" ht="12.75">
      <c r="A47" s="9"/>
      <c r="C47" s="11"/>
    </row>
    <row r="48" spans="4:54" ht="15" thickBot="1">
      <c r="D48" s="28" t="s">
        <v>5</v>
      </c>
      <c r="E48" s="28">
        <f aca="true" t="shared" si="6" ref="E48:AJ48">E32</f>
        <v>1</v>
      </c>
      <c r="F48" s="28">
        <f t="shared" si="6"/>
        <v>2</v>
      </c>
      <c r="G48" s="28">
        <f t="shared" si="6"/>
        <v>3</v>
      </c>
      <c r="H48" s="28">
        <f t="shared" si="6"/>
        <v>4</v>
      </c>
      <c r="I48" s="28">
        <f t="shared" si="6"/>
        <v>5</v>
      </c>
      <c r="J48" s="28">
        <f t="shared" si="6"/>
        <v>6</v>
      </c>
      <c r="K48" s="28">
        <f t="shared" si="6"/>
        <v>7</v>
      </c>
      <c r="L48" s="28">
        <f t="shared" si="6"/>
        <v>8</v>
      </c>
      <c r="M48" s="28">
        <f t="shared" si="6"/>
        <v>9</v>
      </c>
      <c r="N48" s="28">
        <f t="shared" si="6"/>
        <v>10</v>
      </c>
      <c r="O48" s="28">
        <f t="shared" si="6"/>
      </c>
      <c r="P48" s="28">
        <f t="shared" si="6"/>
      </c>
      <c r="Q48" s="28">
        <f t="shared" si="6"/>
      </c>
      <c r="R48" s="28">
        <f t="shared" si="6"/>
      </c>
      <c r="S48" s="28">
        <f t="shared" si="6"/>
      </c>
      <c r="T48" s="28">
        <f t="shared" si="6"/>
      </c>
      <c r="U48" s="28">
        <f t="shared" si="6"/>
      </c>
      <c r="V48" s="28">
        <f t="shared" si="6"/>
      </c>
      <c r="W48" s="28">
        <f t="shared" si="6"/>
      </c>
      <c r="X48" s="28">
        <f t="shared" si="6"/>
      </c>
      <c r="Y48" s="28">
        <f t="shared" si="6"/>
      </c>
      <c r="Z48" s="28">
        <f t="shared" si="6"/>
      </c>
      <c r="AA48" s="28">
        <f t="shared" si="6"/>
      </c>
      <c r="AB48" s="28">
        <f t="shared" si="6"/>
      </c>
      <c r="AC48" s="28">
        <f t="shared" si="6"/>
      </c>
      <c r="AD48" s="28">
        <f t="shared" si="6"/>
      </c>
      <c r="AE48" s="28">
        <f t="shared" si="6"/>
      </c>
      <c r="AF48" s="28">
        <f t="shared" si="6"/>
      </c>
      <c r="AG48" s="28">
        <f t="shared" si="6"/>
      </c>
      <c r="AH48" s="28">
        <f t="shared" si="6"/>
      </c>
      <c r="AI48" s="28">
        <f t="shared" si="6"/>
      </c>
      <c r="AJ48" s="28">
        <f t="shared" si="6"/>
      </c>
      <c r="AK48" s="28">
        <f aca="true" t="shared" si="7" ref="AK48:BB48">AK32</f>
      </c>
      <c r="AL48" s="28">
        <f t="shared" si="7"/>
      </c>
      <c r="AM48" s="28">
        <f t="shared" si="7"/>
      </c>
      <c r="AN48" s="28">
        <f t="shared" si="7"/>
      </c>
      <c r="AO48" s="28">
        <f t="shared" si="7"/>
      </c>
      <c r="AP48" s="28">
        <f t="shared" si="7"/>
      </c>
      <c r="AQ48" s="28">
        <f t="shared" si="7"/>
      </c>
      <c r="AR48" s="28">
        <f t="shared" si="7"/>
      </c>
      <c r="AS48" s="28">
        <f t="shared" si="7"/>
      </c>
      <c r="AT48" s="28">
        <f t="shared" si="7"/>
      </c>
      <c r="AU48" s="28">
        <f t="shared" si="7"/>
      </c>
      <c r="AV48" s="28">
        <f t="shared" si="7"/>
      </c>
      <c r="AW48" s="28">
        <f t="shared" si="7"/>
      </c>
      <c r="AX48" s="28">
        <f t="shared" si="7"/>
      </c>
      <c r="AY48" s="28">
        <f t="shared" si="7"/>
      </c>
      <c r="AZ48" s="28">
        <f t="shared" si="7"/>
      </c>
      <c r="BA48" s="28">
        <f t="shared" si="7"/>
      </c>
      <c r="BB48" s="28">
        <f t="shared" si="7"/>
      </c>
    </row>
    <row r="49" spans="1:54" ht="19.5" thickBot="1">
      <c r="A49" s="25" t="s">
        <v>15</v>
      </c>
      <c r="B49" s="21" t="s">
        <v>17</v>
      </c>
      <c r="C49" s="15">
        <f>SUM(E49:BB49)</f>
        <v>73635.24220656948</v>
      </c>
      <c r="D49" s="1"/>
      <c r="E49" s="26">
        <f aca="true" t="shared" si="8" ref="E49:AJ49">E50*E30</f>
        <v>10160.946755676261</v>
      </c>
      <c r="F49" s="26">
        <f t="shared" si="8"/>
        <v>9408.284033033575</v>
      </c>
      <c r="G49" s="26">
        <f t="shared" si="8"/>
        <v>8711.374104660717</v>
      </c>
      <c r="H49" s="26">
        <f t="shared" si="8"/>
        <v>8066.087133945108</v>
      </c>
      <c r="I49" s="26">
        <f t="shared" si="8"/>
        <v>7468.599198097322</v>
      </c>
      <c r="J49" s="26">
        <f t="shared" si="8"/>
        <v>6915.36962786789</v>
      </c>
      <c r="K49" s="26">
        <f t="shared" si="8"/>
        <v>6403.1200258036015</v>
      </c>
      <c r="L49" s="26">
        <f t="shared" si="8"/>
        <v>5928.814838707038</v>
      </c>
      <c r="M49" s="26">
        <f t="shared" si="8"/>
        <v>5489.643369173182</v>
      </c>
      <c r="N49" s="26">
        <f t="shared" si="8"/>
        <v>5083.003119604798</v>
      </c>
      <c r="O49" s="26">
        <f t="shared" si="8"/>
        <v>0</v>
      </c>
      <c r="P49" s="26">
        <f t="shared" si="8"/>
        <v>0</v>
      </c>
      <c r="Q49" s="26">
        <f t="shared" si="8"/>
        <v>0</v>
      </c>
      <c r="R49" s="26">
        <f t="shared" si="8"/>
        <v>0</v>
      </c>
      <c r="S49" s="26">
        <f t="shared" si="8"/>
        <v>0</v>
      </c>
      <c r="T49" s="26">
        <f t="shared" si="8"/>
        <v>0</v>
      </c>
      <c r="U49" s="26">
        <f t="shared" si="8"/>
        <v>0</v>
      </c>
      <c r="V49" s="26">
        <f t="shared" si="8"/>
        <v>0</v>
      </c>
      <c r="W49" s="26">
        <f t="shared" si="8"/>
        <v>0</v>
      </c>
      <c r="X49" s="26">
        <f t="shared" si="8"/>
        <v>0</v>
      </c>
      <c r="Y49" s="26">
        <f t="shared" si="8"/>
        <v>0</v>
      </c>
      <c r="Z49" s="26">
        <f t="shared" si="8"/>
        <v>0</v>
      </c>
      <c r="AA49" s="26">
        <f t="shared" si="8"/>
        <v>0</v>
      </c>
      <c r="AB49" s="26">
        <f t="shared" si="8"/>
        <v>0</v>
      </c>
      <c r="AC49" s="26">
        <f t="shared" si="8"/>
        <v>0</v>
      </c>
      <c r="AD49" s="26">
        <f t="shared" si="8"/>
        <v>0</v>
      </c>
      <c r="AE49" s="26">
        <f t="shared" si="8"/>
        <v>0</v>
      </c>
      <c r="AF49" s="26">
        <f t="shared" si="8"/>
        <v>0</v>
      </c>
      <c r="AG49" s="26">
        <f t="shared" si="8"/>
        <v>0</v>
      </c>
      <c r="AH49" s="26">
        <f t="shared" si="8"/>
        <v>0</v>
      </c>
      <c r="AI49" s="26">
        <f t="shared" si="8"/>
        <v>0</v>
      </c>
      <c r="AJ49" s="26">
        <f t="shared" si="8"/>
        <v>0</v>
      </c>
      <c r="AK49" s="26">
        <f aca="true" t="shared" si="9" ref="AK49:BB49">AK50*AK30</f>
        <v>0</v>
      </c>
      <c r="AL49" s="26">
        <f t="shared" si="9"/>
        <v>0</v>
      </c>
      <c r="AM49" s="26">
        <f t="shared" si="9"/>
        <v>0</v>
      </c>
      <c r="AN49" s="26">
        <f t="shared" si="9"/>
        <v>0</v>
      </c>
      <c r="AO49" s="26">
        <f t="shared" si="9"/>
        <v>0</v>
      </c>
      <c r="AP49" s="26">
        <f t="shared" si="9"/>
        <v>0</v>
      </c>
      <c r="AQ49" s="26">
        <f t="shared" si="9"/>
        <v>0</v>
      </c>
      <c r="AR49" s="26">
        <f t="shared" si="9"/>
        <v>0</v>
      </c>
      <c r="AS49" s="26">
        <f t="shared" si="9"/>
        <v>0</v>
      </c>
      <c r="AT49" s="26">
        <f t="shared" si="9"/>
        <v>0</v>
      </c>
      <c r="AU49" s="26">
        <f t="shared" si="9"/>
        <v>0</v>
      </c>
      <c r="AV49" s="26">
        <f t="shared" si="9"/>
        <v>0</v>
      </c>
      <c r="AW49" s="26">
        <f t="shared" si="9"/>
        <v>0</v>
      </c>
      <c r="AX49" s="26">
        <f t="shared" si="9"/>
        <v>0</v>
      </c>
      <c r="AY49" s="26">
        <f t="shared" si="9"/>
        <v>0</v>
      </c>
      <c r="AZ49" s="26">
        <f t="shared" si="9"/>
        <v>0</v>
      </c>
      <c r="BA49" s="26">
        <f t="shared" si="9"/>
        <v>0</v>
      </c>
      <c r="BB49" s="26">
        <f t="shared" si="9"/>
        <v>0</v>
      </c>
    </row>
    <row r="50" spans="1:54" ht="15.75" thickBot="1">
      <c r="A50" s="29" t="s">
        <v>25</v>
      </c>
      <c r="B50" s="7" t="s">
        <v>17</v>
      </c>
      <c r="C50" s="15">
        <f>SUM(E50:BB50)</f>
        <v>109738.22496130364</v>
      </c>
      <c r="E50" s="30">
        <f aca="true" t="shared" si="10" ref="E50:X50">E55+E59+E62-E68</f>
        <v>10973.822496130364</v>
      </c>
      <c r="F50" s="30">
        <f t="shared" si="10"/>
        <v>10973.822496130364</v>
      </c>
      <c r="G50" s="30">
        <f t="shared" si="10"/>
        <v>10973.822496130364</v>
      </c>
      <c r="H50" s="30">
        <f t="shared" si="10"/>
        <v>10973.822496130364</v>
      </c>
      <c r="I50" s="30">
        <f t="shared" si="10"/>
        <v>10973.822496130364</v>
      </c>
      <c r="J50" s="30">
        <f t="shared" si="10"/>
        <v>10973.822496130364</v>
      </c>
      <c r="K50" s="30">
        <f t="shared" si="10"/>
        <v>10973.822496130364</v>
      </c>
      <c r="L50" s="30">
        <f t="shared" si="10"/>
        <v>10973.822496130364</v>
      </c>
      <c r="M50" s="30">
        <f t="shared" si="10"/>
        <v>10973.822496130364</v>
      </c>
      <c r="N50" s="30">
        <f t="shared" si="10"/>
        <v>10973.822496130364</v>
      </c>
      <c r="O50" s="30">
        <f t="shared" si="10"/>
        <v>0</v>
      </c>
      <c r="P50" s="30">
        <f t="shared" si="10"/>
        <v>0</v>
      </c>
      <c r="Q50" s="30">
        <f t="shared" si="10"/>
        <v>0</v>
      </c>
      <c r="R50" s="30">
        <f t="shared" si="10"/>
        <v>0</v>
      </c>
      <c r="S50" s="30">
        <f t="shared" si="10"/>
        <v>0</v>
      </c>
      <c r="T50" s="30">
        <f t="shared" si="10"/>
        <v>0</v>
      </c>
      <c r="U50" s="30">
        <f t="shared" si="10"/>
        <v>0</v>
      </c>
      <c r="V50" s="30">
        <f t="shared" si="10"/>
        <v>0</v>
      </c>
      <c r="W50" s="30">
        <f t="shared" si="10"/>
        <v>0</v>
      </c>
      <c r="X50" s="30">
        <f t="shared" si="10"/>
        <v>0</v>
      </c>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ht="12.75">
      <c r="A51" s="12" t="s">
        <v>13</v>
      </c>
    </row>
    <row r="52" spans="1:3" ht="12.75">
      <c r="A52" s="42" t="s">
        <v>46</v>
      </c>
      <c r="B52" s="46" t="s">
        <v>48</v>
      </c>
      <c r="C52" s="45">
        <f>E8*E17*24/1000</f>
        <v>624.96</v>
      </c>
    </row>
    <row r="53" spans="1:3" ht="12.75">
      <c r="A53" s="42" t="s">
        <v>47</v>
      </c>
      <c r="B53" s="46" t="s">
        <v>48</v>
      </c>
      <c r="C53" s="45">
        <f>E8/2*E18*24/1000</f>
        <v>300.72</v>
      </c>
    </row>
    <row r="54" spans="1:3" ht="12.75">
      <c r="A54" s="42" t="s">
        <v>51</v>
      </c>
      <c r="B54" s="46" t="s">
        <v>53</v>
      </c>
      <c r="C54" s="47">
        <f>(C52/(E14/100)+C53/(E15/100))*859845/E12/1000</f>
        <v>489.6991185324554</v>
      </c>
    </row>
    <row r="55" spans="1:14" ht="12.75">
      <c r="A55" s="42" t="s">
        <v>54</v>
      </c>
      <c r="B55" s="46" t="s">
        <v>55</v>
      </c>
      <c r="C55" s="47">
        <f>C54*E11</f>
        <v>122.42477963311384</v>
      </c>
      <c r="E55">
        <f>C55*1000</f>
        <v>122424.77963311384</v>
      </c>
      <c r="F55">
        <f aca="true" t="shared" si="11" ref="F55:N55">E55</f>
        <v>122424.77963311384</v>
      </c>
      <c r="G55">
        <f t="shared" si="11"/>
        <v>122424.77963311384</v>
      </c>
      <c r="H55">
        <f t="shared" si="11"/>
        <v>122424.77963311384</v>
      </c>
      <c r="I55">
        <f t="shared" si="11"/>
        <v>122424.77963311384</v>
      </c>
      <c r="J55">
        <f t="shared" si="11"/>
        <v>122424.77963311384</v>
      </c>
      <c r="K55">
        <f t="shared" si="11"/>
        <v>122424.77963311384</v>
      </c>
      <c r="L55">
        <f t="shared" si="11"/>
        <v>122424.77963311384</v>
      </c>
      <c r="M55">
        <f t="shared" si="11"/>
        <v>122424.77963311384</v>
      </c>
      <c r="N55">
        <f t="shared" si="11"/>
        <v>122424.77963311384</v>
      </c>
    </row>
    <row r="56" ht="12.75">
      <c r="A56" s="12"/>
    </row>
    <row r="57" ht="12.75">
      <c r="A57" s="12" t="s">
        <v>14</v>
      </c>
    </row>
    <row r="58" spans="1:3" ht="12.75">
      <c r="A58" s="42" t="s">
        <v>58</v>
      </c>
      <c r="B58" s="46" t="s">
        <v>59</v>
      </c>
      <c r="C58" s="45">
        <f>E22*365*24</f>
        <v>17520</v>
      </c>
    </row>
    <row r="59" spans="1:14" ht="12.75">
      <c r="A59" s="42" t="s">
        <v>60</v>
      </c>
      <c r="B59" s="46" t="s">
        <v>61</v>
      </c>
      <c r="C59" s="45">
        <f>C58*E23/100</f>
        <v>6377.28</v>
      </c>
      <c r="E59">
        <f>C59</f>
        <v>6377.28</v>
      </c>
      <c r="F59">
        <f aca="true" t="shared" si="12" ref="F59:N59">E59</f>
        <v>6377.28</v>
      </c>
      <c r="G59">
        <f t="shared" si="12"/>
        <v>6377.28</v>
      </c>
      <c r="H59">
        <f t="shared" si="12"/>
        <v>6377.28</v>
      </c>
      <c r="I59">
        <f t="shared" si="12"/>
        <v>6377.28</v>
      </c>
      <c r="J59">
        <f t="shared" si="12"/>
        <v>6377.28</v>
      </c>
      <c r="K59">
        <f t="shared" si="12"/>
        <v>6377.28</v>
      </c>
      <c r="L59">
        <f t="shared" si="12"/>
        <v>6377.28</v>
      </c>
      <c r="M59">
        <f t="shared" si="12"/>
        <v>6377.28</v>
      </c>
      <c r="N59">
        <f t="shared" si="12"/>
        <v>6377.28</v>
      </c>
    </row>
    <row r="60" ht="12.75">
      <c r="B60" s="7"/>
    </row>
    <row r="61" spans="1:2" ht="12.75">
      <c r="A61" s="12" t="s">
        <v>18</v>
      </c>
      <c r="B61" s="7"/>
    </row>
    <row r="62" spans="1:14" ht="12.75">
      <c r="A62" s="42" t="s">
        <v>62</v>
      </c>
      <c r="B62" s="46" t="s">
        <v>61</v>
      </c>
      <c r="C62" s="45">
        <f>E24*1.34*12</f>
        <v>28944</v>
      </c>
      <c r="E62">
        <f>C62</f>
        <v>28944</v>
      </c>
      <c r="F62">
        <f aca="true" t="shared" si="13" ref="F62:N62">E62</f>
        <v>28944</v>
      </c>
      <c r="G62">
        <f t="shared" si="13"/>
        <v>28944</v>
      </c>
      <c r="H62">
        <f t="shared" si="13"/>
        <v>28944</v>
      </c>
      <c r="I62">
        <f t="shared" si="13"/>
        <v>28944</v>
      </c>
      <c r="J62">
        <f t="shared" si="13"/>
        <v>28944</v>
      </c>
      <c r="K62">
        <f t="shared" si="13"/>
        <v>28944</v>
      </c>
      <c r="L62">
        <f t="shared" si="13"/>
        <v>28944</v>
      </c>
      <c r="M62">
        <f t="shared" si="13"/>
        <v>28944</v>
      </c>
      <c r="N62">
        <f t="shared" si="13"/>
        <v>28944</v>
      </c>
    </row>
    <row r="63" ht="12.75">
      <c r="B63" s="7"/>
    </row>
    <row r="64" spans="1:2" ht="12.75">
      <c r="A64" s="12" t="s">
        <v>16</v>
      </c>
      <c r="B64" s="7"/>
    </row>
    <row r="65" spans="1:2" ht="12.75">
      <c r="A65" s="5"/>
      <c r="B65" s="7"/>
    </row>
    <row r="66" spans="1:2" ht="12.75">
      <c r="A66" s="52" t="s">
        <v>65</v>
      </c>
      <c r="B66" s="7"/>
    </row>
    <row r="67" spans="1:3" ht="12.75">
      <c r="A67" s="42" t="s">
        <v>66</v>
      </c>
      <c r="B67" s="46" t="s">
        <v>53</v>
      </c>
      <c r="C67" s="48">
        <f>(C52+C53)/(E20/100)*859845/E21/1000</f>
        <v>82.2253429338843</v>
      </c>
    </row>
    <row r="68" spans="1:14" ht="12.75">
      <c r="A68" s="42" t="s">
        <v>67</v>
      </c>
      <c r="B68" s="46" t="s">
        <v>55</v>
      </c>
      <c r="C68" s="48">
        <f>C67*E16/1000</f>
        <v>146.77223713698348</v>
      </c>
      <c r="E68">
        <f>C68*1000</f>
        <v>146772.2371369835</v>
      </c>
      <c r="F68">
        <f aca="true" t="shared" si="14" ref="F68:N68">E68</f>
        <v>146772.2371369835</v>
      </c>
      <c r="G68">
        <f t="shared" si="14"/>
        <v>146772.2371369835</v>
      </c>
      <c r="H68">
        <f t="shared" si="14"/>
        <v>146772.2371369835</v>
      </c>
      <c r="I68">
        <f t="shared" si="14"/>
        <v>146772.2371369835</v>
      </c>
      <c r="J68">
        <f t="shared" si="14"/>
        <v>146772.2371369835</v>
      </c>
      <c r="K68">
        <f t="shared" si="14"/>
        <v>146772.2371369835</v>
      </c>
      <c r="L68">
        <f t="shared" si="14"/>
        <v>146772.2371369835</v>
      </c>
      <c r="M68">
        <f t="shared" si="14"/>
        <v>146772.2371369835</v>
      </c>
      <c r="N68">
        <f t="shared" si="14"/>
        <v>146772.2371369835</v>
      </c>
    </row>
    <row r="69" ht="12.75">
      <c r="A69" s="5"/>
    </row>
    <row r="70" ht="13.5" thickBot="1"/>
    <row r="71" spans="1:3" ht="15.75" thickBot="1">
      <c r="A71" s="19" t="s">
        <v>74</v>
      </c>
      <c r="B71" s="17" t="s">
        <v>7</v>
      </c>
      <c r="C71" s="15">
        <f>(C52+C53)*1000</f>
        <v>925680.0000000001</v>
      </c>
    </row>
    <row r="72" spans="1:3" ht="12.75">
      <c r="A72" s="6"/>
      <c r="B72" s="7"/>
      <c r="C72" s="2"/>
    </row>
    <row r="73" ht="13.5" thickBot="1"/>
    <row r="74" spans="1:3" ht="33" thickBot="1" thickTop="1">
      <c r="A74" s="54" t="s">
        <v>73</v>
      </c>
      <c r="B74" s="37" t="s">
        <v>8</v>
      </c>
      <c r="C74" s="64">
        <f>IF(C71&gt;0,C32*100/C71*C30/100/(1-POWER(1+C30/100,-C29)),"")</f>
        <v>4.003161886051007</v>
      </c>
    </row>
    <row r="75" ht="13.5" thickTop="1"/>
  </sheetData>
  <sheetProtection/>
  <mergeCells count="23">
    <mergeCell ref="A26:C26"/>
    <mergeCell ref="A19:C19"/>
    <mergeCell ref="A21:C21"/>
    <mergeCell ref="A22:C22"/>
    <mergeCell ref="A23:C23"/>
    <mergeCell ref="A15:C15"/>
    <mergeCell ref="A20:C20"/>
    <mergeCell ref="A24:C24"/>
    <mergeCell ref="A25:C25"/>
    <mergeCell ref="A18:C18"/>
    <mergeCell ref="A9:C9"/>
    <mergeCell ref="A10:C10"/>
    <mergeCell ref="A11:C11"/>
    <mergeCell ref="A13:C13"/>
    <mergeCell ref="A16:C16"/>
    <mergeCell ref="A12:C12"/>
    <mergeCell ref="A14:C14"/>
    <mergeCell ref="A2:D2"/>
    <mergeCell ref="A1:D1"/>
    <mergeCell ref="A6:I6"/>
    <mergeCell ref="A7:C7"/>
    <mergeCell ref="A8:C8"/>
    <mergeCell ref="A17:C17"/>
  </mergeCells>
  <printOptions gridLines="1"/>
  <pageMargins left="1.26" right="0.37" top="0.68" bottom="0.63" header="0.5" footer="0.5"/>
  <pageSetup fitToHeight="1" fitToWidth="1" horizontalDpi="200" verticalDpi="200" orientation="portrait"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74"/>
  <sheetViews>
    <sheetView zoomScalePageLayoutView="0" workbookViewId="0" topLeftCell="A59">
      <selection activeCell="C74" sqref="C7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28</v>
      </c>
      <c r="B2" s="66"/>
      <c r="C2" s="66"/>
      <c r="D2" s="66"/>
      <c r="E2" s="1"/>
    </row>
    <row r="3" spans="1:5" ht="24" customHeight="1">
      <c r="A3" s="55" t="s">
        <v>77</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69</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70</v>
      </c>
      <c r="B8" s="76"/>
      <c r="C8" s="77"/>
      <c r="D8" s="33" t="s">
        <v>31</v>
      </c>
      <c r="E8" s="51">
        <v>140</v>
      </c>
      <c r="F8" s="32"/>
      <c r="G8" s="32"/>
      <c r="H8" s="32"/>
      <c r="I8" s="32"/>
    </row>
    <row r="9" spans="1:9" ht="15" customHeight="1">
      <c r="A9" s="78" t="s">
        <v>32</v>
      </c>
      <c r="B9" s="79"/>
      <c r="C9" s="80"/>
      <c r="D9" s="33" t="s">
        <v>30</v>
      </c>
      <c r="E9" s="51">
        <v>30</v>
      </c>
      <c r="F9" s="32"/>
      <c r="G9" s="32"/>
      <c r="H9" s="32"/>
      <c r="I9" s="32"/>
    </row>
    <row r="10" spans="1:9" ht="15" customHeight="1">
      <c r="A10" s="78" t="s">
        <v>71</v>
      </c>
      <c r="B10" s="81"/>
      <c r="C10" s="80"/>
      <c r="D10" s="33" t="s">
        <v>30</v>
      </c>
      <c r="E10" s="53">
        <v>100</v>
      </c>
      <c r="F10" s="32"/>
      <c r="G10" s="32"/>
      <c r="H10" s="32"/>
      <c r="I10" s="32"/>
    </row>
    <row r="11" spans="1:9" ht="15" customHeight="1">
      <c r="A11" s="78" t="s">
        <v>33</v>
      </c>
      <c r="B11" s="79"/>
      <c r="C11" s="80"/>
      <c r="D11" s="33" t="s">
        <v>34</v>
      </c>
      <c r="E11" s="41">
        <v>0.25</v>
      </c>
      <c r="F11" s="32"/>
      <c r="G11" s="32"/>
      <c r="H11" s="32"/>
      <c r="I11" s="32"/>
    </row>
    <row r="12" spans="1:9" ht="15" customHeight="1">
      <c r="A12" s="78" t="s">
        <v>44</v>
      </c>
      <c r="B12" s="81"/>
      <c r="C12" s="80"/>
      <c r="D12" s="33" t="s">
        <v>43</v>
      </c>
      <c r="E12" s="41">
        <v>2126</v>
      </c>
      <c r="F12" s="32"/>
      <c r="G12" s="32"/>
      <c r="H12" s="32"/>
      <c r="I12" s="32"/>
    </row>
    <row r="13" spans="1:9" ht="15" customHeight="1">
      <c r="A13" s="78" t="s">
        <v>35</v>
      </c>
      <c r="B13" s="79"/>
      <c r="C13" s="80"/>
      <c r="D13" s="33" t="s">
        <v>36</v>
      </c>
      <c r="E13" s="51">
        <v>10</v>
      </c>
      <c r="F13" s="32"/>
      <c r="G13" s="32"/>
      <c r="H13" s="32"/>
      <c r="I13" s="32"/>
    </row>
    <row r="14" spans="1:9" ht="15" customHeight="1">
      <c r="A14" s="78" t="s">
        <v>49</v>
      </c>
      <c r="B14" s="81"/>
      <c r="C14" s="80"/>
      <c r="D14" s="33" t="s">
        <v>3</v>
      </c>
      <c r="E14" s="41">
        <v>80</v>
      </c>
      <c r="F14" s="32"/>
      <c r="G14" s="32"/>
      <c r="H14" s="32"/>
      <c r="I14" s="32"/>
    </row>
    <row r="15" spans="1:9" ht="15" customHeight="1">
      <c r="A15" s="78" t="s">
        <v>50</v>
      </c>
      <c r="B15" s="81"/>
      <c r="C15" s="80"/>
      <c r="D15" s="33" t="s">
        <v>3</v>
      </c>
      <c r="E15" s="41">
        <v>70</v>
      </c>
      <c r="F15" s="32"/>
      <c r="G15" s="32"/>
      <c r="H15" s="32"/>
      <c r="I15" s="32"/>
    </row>
    <row r="16" spans="1:9" ht="15" customHeight="1">
      <c r="A16" s="78" t="s">
        <v>37</v>
      </c>
      <c r="B16" s="79"/>
      <c r="C16" s="80"/>
      <c r="D16" s="33" t="s">
        <v>38</v>
      </c>
      <c r="E16" s="41">
        <v>1785</v>
      </c>
      <c r="F16" s="32"/>
      <c r="G16" s="32"/>
      <c r="H16" s="32"/>
      <c r="I16" s="32"/>
    </row>
    <row r="17" spans="1:9" ht="15" customHeight="1">
      <c r="A17" s="78" t="s">
        <v>39</v>
      </c>
      <c r="B17" s="79"/>
      <c r="C17" s="80"/>
      <c r="D17" s="33" t="s">
        <v>41</v>
      </c>
      <c r="E17" s="41">
        <v>186</v>
      </c>
      <c r="F17" s="32"/>
      <c r="G17" s="32"/>
      <c r="H17" s="32"/>
      <c r="I17" s="32"/>
    </row>
    <row r="18" spans="1:9" ht="15" customHeight="1">
      <c r="A18" s="78" t="s">
        <v>40</v>
      </c>
      <c r="B18" s="79"/>
      <c r="C18" s="80"/>
      <c r="D18" s="33" t="s">
        <v>41</v>
      </c>
      <c r="E18" s="41">
        <f>365-E17</f>
        <v>179</v>
      </c>
      <c r="F18" s="32"/>
      <c r="G18" s="32"/>
      <c r="H18" s="32"/>
      <c r="I18" s="32"/>
    </row>
    <row r="19" spans="1:9" ht="15" customHeight="1">
      <c r="A19" s="78" t="s">
        <v>42</v>
      </c>
      <c r="B19" s="79"/>
      <c r="C19" s="80"/>
      <c r="D19" s="33" t="s">
        <v>30</v>
      </c>
      <c r="E19" s="41">
        <v>80</v>
      </c>
      <c r="F19" s="32"/>
      <c r="G19" s="32"/>
      <c r="H19" s="32"/>
      <c r="I19" s="32"/>
    </row>
    <row r="20" spans="1:9" ht="15" customHeight="1">
      <c r="A20" s="78" t="s">
        <v>52</v>
      </c>
      <c r="B20" s="81"/>
      <c r="C20" s="80"/>
      <c r="D20" s="33" t="s">
        <v>3</v>
      </c>
      <c r="E20" s="41">
        <v>88</v>
      </c>
      <c r="F20" s="32"/>
      <c r="G20" s="32"/>
      <c r="H20" s="32"/>
      <c r="I20" s="32"/>
    </row>
    <row r="21" spans="1:9" ht="15" customHeight="1">
      <c r="A21" s="78" t="s">
        <v>45</v>
      </c>
      <c r="B21" s="79"/>
      <c r="C21" s="80"/>
      <c r="D21" s="33" t="s">
        <v>43</v>
      </c>
      <c r="E21" s="41">
        <v>11000</v>
      </c>
      <c r="F21" s="32"/>
      <c r="G21" s="32"/>
      <c r="H21" s="32"/>
      <c r="I21" s="32"/>
    </row>
    <row r="22" spans="1:9" ht="15" customHeight="1">
      <c r="A22" s="78" t="s">
        <v>56</v>
      </c>
      <c r="B22" s="79"/>
      <c r="C22" s="80"/>
      <c r="D22" s="33" t="s">
        <v>31</v>
      </c>
      <c r="E22" s="41">
        <v>2</v>
      </c>
      <c r="F22" s="32"/>
      <c r="G22" s="32"/>
      <c r="H22" s="32"/>
      <c r="I22" s="32"/>
    </row>
    <row r="23" spans="1:9" ht="15" customHeight="1">
      <c r="A23" s="78" t="s">
        <v>57</v>
      </c>
      <c r="B23" s="79"/>
      <c r="C23" s="80"/>
      <c r="D23" s="33" t="s">
        <v>8</v>
      </c>
      <c r="E23" s="41">
        <v>36.4</v>
      </c>
      <c r="F23" s="32"/>
      <c r="G23" s="32"/>
      <c r="H23" s="32"/>
      <c r="I23" s="32"/>
    </row>
    <row r="24" spans="1:9" ht="15" customHeight="1">
      <c r="A24" s="78" t="s">
        <v>63</v>
      </c>
      <c r="B24" s="79"/>
      <c r="C24" s="80"/>
      <c r="D24" s="33" t="s">
        <v>64</v>
      </c>
      <c r="E24" s="41">
        <v>1800</v>
      </c>
      <c r="F24" s="32"/>
      <c r="G24" s="32"/>
      <c r="H24" s="32"/>
      <c r="I24" s="32"/>
    </row>
    <row r="25" spans="1:9" ht="15" customHeight="1">
      <c r="A25" s="78"/>
      <c r="B25" s="79"/>
      <c r="C25" s="80"/>
      <c r="D25" s="32"/>
      <c r="E25" s="41"/>
      <c r="F25" s="32"/>
      <c r="G25" s="32"/>
      <c r="H25" s="32"/>
      <c r="I25" s="32"/>
    </row>
    <row r="26" spans="1:9" ht="15" customHeight="1" thickBot="1">
      <c r="A26" s="82"/>
      <c r="B26" s="83"/>
      <c r="C26" s="84"/>
      <c r="D26" s="32"/>
      <c r="E26" s="32"/>
      <c r="F26" s="32"/>
      <c r="G26" s="32"/>
      <c r="H26" s="32"/>
      <c r="I26" s="32"/>
    </row>
    <row r="27" spans="1:9" ht="15" customHeight="1" thickBot="1">
      <c r="A27" s="31"/>
      <c r="B27" s="36"/>
      <c r="C27" s="36"/>
      <c r="D27" s="32"/>
      <c r="E27" s="32"/>
      <c r="F27" s="32"/>
      <c r="G27" s="32"/>
      <c r="H27" s="32"/>
      <c r="I27" s="32"/>
    </row>
    <row r="28" spans="1:3" ht="14.25" thickBot="1" thickTop="1">
      <c r="A28" s="34" t="s">
        <v>0</v>
      </c>
      <c r="B28" s="3" t="s">
        <v>1</v>
      </c>
      <c r="C28" s="2"/>
    </row>
    <row r="29" spans="1:3" ht="25.5" customHeight="1" thickTop="1">
      <c r="A29" s="18" t="s">
        <v>22</v>
      </c>
      <c r="B29" s="38" t="s">
        <v>6</v>
      </c>
      <c r="C29" s="39">
        <f>E13</f>
        <v>10</v>
      </c>
    </row>
    <row r="30" spans="1:54" ht="15" thickBot="1">
      <c r="A30" s="16" t="s">
        <v>2</v>
      </c>
      <c r="B30" s="38" t="s">
        <v>3</v>
      </c>
      <c r="C30" s="40">
        <v>8</v>
      </c>
      <c r="D30" s="14">
        <v>1</v>
      </c>
      <c r="E30" s="14">
        <f>1/(1+C30/100)</f>
        <v>0.9259259259259258</v>
      </c>
      <c r="F30" s="14">
        <f aca="true" t="shared" si="0" ref="F30:AK30">E30/(1+$C30/100)</f>
        <v>0.8573388203017831</v>
      </c>
      <c r="G30" s="14">
        <f t="shared" si="0"/>
        <v>0.7938322410201695</v>
      </c>
      <c r="H30" s="14">
        <f t="shared" si="0"/>
        <v>0.7350298527964532</v>
      </c>
      <c r="I30" s="14">
        <f t="shared" si="0"/>
        <v>0.6805831970337529</v>
      </c>
      <c r="J30" s="14">
        <f t="shared" si="0"/>
        <v>0.6301696268831045</v>
      </c>
      <c r="K30" s="14">
        <f t="shared" si="0"/>
        <v>0.5834903952621338</v>
      </c>
      <c r="L30" s="14">
        <f t="shared" si="0"/>
        <v>0.5402688845019756</v>
      </c>
      <c r="M30" s="14">
        <f t="shared" si="0"/>
        <v>0.5002489671314588</v>
      </c>
      <c r="N30" s="14">
        <f t="shared" si="0"/>
        <v>0.4631934880846841</v>
      </c>
      <c r="O30" s="14">
        <f t="shared" si="0"/>
        <v>0.4288828593376704</v>
      </c>
      <c r="P30" s="14">
        <f t="shared" si="0"/>
        <v>0.3971137586459911</v>
      </c>
      <c r="Q30" s="14">
        <f t="shared" si="0"/>
        <v>0.36769792467221396</v>
      </c>
      <c r="R30" s="14">
        <f t="shared" si="0"/>
        <v>0.3404610413631611</v>
      </c>
      <c r="S30" s="14">
        <f t="shared" si="0"/>
        <v>0.3152417049658899</v>
      </c>
      <c r="T30" s="14">
        <f t="shared" si="0"/>
        <v>0.2918904675610091</v>
      </c>
      <c r="U30" s="14">
        <f t="shared" si="0"/>
        <v>0.27026895144537877</v>
      </c>
      <c r="V30" s="14">
        <f t="shared" si="0"/>
        <v>0.2502490291160914</v>
      </c>
      <c r="W30" s="14">
        <f t="shared" si="0"/>
        <v>0.23171206399638095</v>
      </c>
      <c r="X30" s="14">
        <f t="shared" si="0"/>
        <v>0.21454820740405642</v>
      </c>
      <c r="Y30" s="14">
        <f t="shared" si="0"/>
        <v>0.19865574759634852</v>
      </c>
      <c r="Z30" s="14">
        <f t="shared" si="0"/>
        <v>0.18394050703365603</v>
      </c>
      <c r="AA30" s="14">
        <f t="shared" si="0"/>
        <v>0.17031528429042223</v>
      </c>
      <c r="AB30" s="14">
        <f t="shared" si="0"/>
        <v>0.15769933730594649</v>
      </c>
      <c r="AC30" s="14">
        <f t="shared" si="0"/>
        <v>0.14601790491291342</v>
      </c>
      <c r="AD30" s="14">
        <f t="shared" si="0"/>
        <v>0.13520176380825316</v>
      </c>
      <c r="AE30" s="14">
        <f t="shared" si="0"/>
        <v>0.12518681834097514</v>
      </c>
      <c r="AF30" s="14">
        <f t="shared" si="0"/>
        <v>0.11591372068608809</v>
      </c>
      <c r="AG30" s="14">
        <f t="shared" si="0"/>
        <v>0.10732751915378526</v>
      </c>
      <c r="AH30" s="14">
        <f t="shared" si="0"/>
        <v>0.09937733254980116</v>
      </c>
      <c r="AI30" s="14">
        <f t="shared" si="0"/>
        <v>0.09201604865722329</v>
      </c>
      <c r="AJ30" s="14">
        <f t="shared" si="0"/>
        <v>0.08520004505298452</v>
      </c>
      <c r="AK30" s="14">
        <f t="shared" si="0"/>
        <v>0.0788889306046153</v>
      </c>
      <c r="AL30" s="14">
        <f aca="true" t="shared" si="1" ref="AL30:BB30">AK30/(1+$C30/100)</f>
        <v>0.07304530611538453</v>
      </c>
      <c r="AM30" s="14">
        <f t="shared" si="1"/>
        <v>0.06763454269943012</v>
      </c>
      <c r="AN30" s="14">
        <f t="shared" si="1"/>
        <v>0.0626245765735464</v>
      </c>
      <c r="AO30" s="14">
        <f t="shared" si="1"/>
        <v>0.057985719049580005</v>
      </c>
      <c r="AP30" s="14">
        <f t="shared" si="1"/>
        <v>0.05369048060146296</v>
      </c>
      <c r="AQ30" s="14">
        <f t="shared" si="1"/>
        <v>0.04971340796431755</v>
      </c>
      <c r="AR30" s="14">
        <f t="shared" si="1"/>
        <v>0.04603093330029402</v>
      </c>
      <c r="AS30" s="14">
        <f t="shared" si="1"/>
        <v>0.042621234537309274</v>
      </c>
      <c r="AT30" s="14">
        <f t="shared" si="1"/>
        <v>0.03946410605306414</v>
      </c>
      <c r="AU30" s="14">
        <f t="shared" si="1"/>
        <v>0.03654083893802235</v>
      </c>
      <c r="AV30" s="14">
        <f t="shared" si="1"/>
        <v>0.033834110127798474</v>
      </c>
      <c r="AW30" s="14">
        <f t="shared" si="1"/>
        <v>0.03132787974796155</v>
      </c>
      <c r="AX30" s="14">
        <f t="shared" si="1"/>
        <v>0.02900729606292736</v>
      </c>
      <c r="AY30" s="14">
        <f t="shared" si="1"/>
        <v>0.02685860746567348</v>
      </c>
      <c r="AZ30" s="14">
        <f t="shared" si="1"/>
        <v>0.0248690809867347</v>
      </c>
      <c r="BA30" s="14">
        <f t="shared" si="1"/>
        <v>0.023026926839569164</v>
      </c>
      <c r="BB30" s="14">
        <f t="shared" si="1"/>
        <v>0.02132122855515663</v>
      </c>
    </row>
    <row r="31" ht="15" thickBot="1">
      <c r="D31" s="28" t="s">
        <v>5</v>
      </c>
    </row>
    <row r="32" spans="1:54" ht="15.75" thickBot="1">
      <c r="A32" s="19" t="s">
        <v>21</v>
      </c>
      <c r="B32" s="17" t="s">
        <v>17</v>
      </c>
      <c r="C32" s="15">
        <f>C33+C49</f>
        <v>161143.5825984616</v>
      </c>
      <c r="D32" s="28">
        <v>0</v>
      </c>
      <c r="E32" s="28">
        <f aca="true" t="shared" si="2" ref="E32:AJ32">IF(D32&lt;$C29,D32+1,"")</f>
        <v>1</v>
      </c>
      <c r="F32" s="28">
        <f t="shared" si="2"/>
        <v>2</v>
      </c>
      <c r="G32" s="28">
        <f t="shared" si="2"/>
        <v>3</v>
      </c>
      <c r="H32" s="28">
        <f t="shared" si="2"/>
        <v>4</v>
      </c>
      <c r="I32" s="28">
        <f t="shared" si="2"/>
        <v>5</v>
      </c>
      <c r="J32" s="28">
        <f t="shared" si="2"/>
        <v>6</v>
      </c>
      <c r="K32" s="28">
        <f t="shared" si="2"/>
        <v>7</v>
      </c>
      <c r="L32" s="28">
        <f t="shared" si="2"/>
        <v>8</v>
      </c>
      <c r="M32" s="28">
        <f t="shared" si="2"/>
        <v>9</v>
      </c>
      <c r="N32" s="28">
        <f t="shared" si="2"/>
        <v>10</v>
      </c>
      <c r="O32" s="28">
        <f t="shared" si="2"/>
      </c>
      <c r="P32" s="28">
        <f t="shared" si="2"/>
      </c>
      <c r="Q32" s="28">
        <f t="shared" si="2"/>
      </c>
      <c r="R32" s="28">
        <f t="shared" si="2"/>
      </c>
      <c r="S32" s="28">
        <f t="shared" si="2"/>
      </c>
      <c r="T32" s="28">
        <f t="shared" si="2"/>
      </c>
      <c r="U32" s="28">
        <f t="shared" si="2"/>
      </c>
      <c r="V32" s="28">
        <f t="shared" si="2"/>
      </c>
      <c r="W32" s="28">
        <f t="shared" si="2"/>
      </c>
      <c r="X32" s="28">
        <f t="shared" si="2"/>
      </c>
      <c r="Y32" s="28">
        <f t="shared" si="2"/>
      </c>
      <c r="Z32" s="28">
        <f t="shared" si="2"/>
      </c>
      <c r="AA32" s="28">
        <f t="shared" si="2"/>
      </c>
      <c r="AB32" s="28">
        <f t="shared" si="2"/>
      </c>
      <c r="AC32" s="28">
        <f t="shared" si="2"/>
      </c>
      <c r="AD32" s="28">
        <f t="shared" si="2"/>
      </c>
      <c r="AE32" s="28">
        <f t="shared" si="2"/>
      </c>
      <c r="AF32" s="28">
        <f t="shared" si="2"/>
      </c>
      <c r="AG32" s="28">
        <f t="shared" si="2"/>
      </c>
      <c r="AH32" s="28">
        <f t="shared" si="2"/>
      </c>
      <c r="AI32" s="28">
        <f t="shared" si="2"/>
      </c>
      <c r="AJ32" s="28">
        <f t="shared" si="2"/>
      </c>
      <c r="AK32" s="28">
        <f aca="true" t="shared" si="3" ref="AK32:BB32">IF(AJ32&lt;$C29,AJ32+1,"")</f>
      </c>
      <c r="AL32" s="28">
        <f t="shared" si="3"/>
      </c>
      <c r="AM32" s="28">
        <f t="shared" si="3"/>
      </c>
      <c r="AN32" s="28">
        <f t="shared" si="3"/>
      </c>
      <c r="AO32" s="28">
        <f t="shared" si="3"/>
      </c>
      <c r="AP32" s="28">
        <f t="shared" si="3"/>
      </c>
      <c r="AQ32" s="28">
        <f t="shared" si="3"/>
      </c>
      <c r="AR32" s="28">
        <f t="shared" si="3"/>
      </c>
      <c r="AS32" s="28">
        <f t="shared" si="3"/>
      </c>
      <c r="AT32" s="28">
        <f t="shared" si="3"/>
      </c>
      <c r="AU32" s="28">
        <f t="shared" si="3"/>
      </c>
      <c r="AV32" s="28">
        <f t="shared" si="3"/>
      </c>
      <c r="AW32" s="28">
        <f t="shared" si="3"/>
      </c>
      <c r="AX32" s="28">
        <f t="shared" si="3"/>
      </c>
      <c r="AY32" s="28">
        <f t="shared" si="3"/>
      </c>
      <c r="AZ32" s="28">
        <f t="shared" si="3"/>
      </c>
      <c r="BA32" s="28">
        <f t="shared" si="3"/>
      </c>
      <c r="BB32" s="28">
        <f t="shared" si="3"/>
      </c>
    </row>
    <row r="33" spans="1:54" ht="19.5" thickBot="1">
      <c r="A33" s="25" t="s">
        <v>9</v>
      </c>
      <c r="B33" s="20" t="s">
        <v>17</v>
      </c>
      <c r="C33" s="15">
        <f>SUM(D33:BB33)</f>
        <v>87508.34039189212</v>
      </c>
      <c r="D33" s="26">
        <f aca="true" t="shared" si="4" ref="D33:AI33">D34*D30</f>
        <v>87508.34039189212</v>
      </c>
      <c r="E33" s="26">
        <f t="shared" si="4"/>
        <v>0</v>
      </c>
      <c r="F33" s="26">
        <f t="shared" si="4"/>
        <v>0</v>
      </c>
      <c r="G33" s="26">
        <f t="shared" si="4"/>
        <v>0</v>
      </c>
      <c r="H33" s="26">
        <f t="shared" si="4"/>
        <v>0</v>
      </c>
      <c r="I33" s="26">
        <f t="shared" si="4"/>
        <v>0</v>
      </c>
      <c r="J33" s="26">
        <f t="shared" si="4"/>
        <v>0</v>
      </c>
      <c r="K33" s="26">
        <f t="shared" si="4"/>
        <v>0</v>
      </c>
      <c r="L33" s="26">
        <f t="shared" si="4"/>
        <v>0</v>
      </c>
      <c r="M33" s="26">
        <f t="shared" si="4"/>
        <v>0</v>
      </c>
      <c r="N33" s="26">
        <f t="shared" si="4"/>
        <v>0</v>
      </c>
      <c r="O33" s="26">
        <f t="shared" si="4"/>
        <v>0</v>
      </c>
      <c r="P33" s="26">
        <f t="shared" si="4"/>
        <v>0</v>
      </c>
      <c r="Q33" s="26">
        <f t="shared" si="4"/>
        <v>0</v>
      </c>
      <c r="R33" s="26">
        <f t="shared" si="4"/>
        <v>0</v>
      </c>
      <c r="S33" s="26">
        <f t="shared" si="4"/>
        <v>0</v>
      </c>
      <c r="T33" s="26">
        <f t="shared" si="4"/>
        <v>0</v>
      </c>
      <c r="U33" s="26">
        <f t="shared" si="4"/>
        <v>0</v>
      </c>
      <c r="V33" s="26">
        <f t="shared" si="4"/>
        <v>0</v>
      </c>
      <c r="W33" s="26">
        <f t="shared" si="4"/>
        <v>0</v>
      </c>
      <c r="X33" s="26">
        <f t="shared" si="4"/>
        <v>0</v>
      </c>
      <c r="Y33" s="26">
        <f t="shared" si="4"/>
        <v>0</v>
      </c>
      <c r="Z33" s="26">
        <f t="shared" si="4"/>
        <v>0</v>
      </c>
      <c r="AA33" s="26">
        <f t="shared" si="4"/>
        <v>0</v>
      </c>
      <c r="AB33" s="26">
        <f t="shared" si="4"/>
        <v>0</v>
      </c>
      <c r="AC33" s="26">
        <f t="shared" si="4"/>
        <v>0</v>
      </c>
      <c r="AD33" s="26">
        <f t="shared" si="4"/>
        <v>0</v>
      </c>
      <c r="AE33" s="26">
        <f t="shared" si="4"/>
        <v>0</v>
      </c>
      <c r="AF33" s="26">
        <f t="shared" si="4"/>
        <v>0</v>
      </c>
      <c r="AG33" s="26">
        <f t="shared" si="4"/>
        <v>0</v>
      </c>
      <c r="AH33" s="26">
        <f t="shared" si="4"/>
        <v>0</v>
      </c>
      <c r="AI33" s="26">
        <f t="shared" si="4"/>
        <v>0</v>
      </c>
      <c r="AJ33" s="26">
        <f aca="true" t="shared" si="5" ref="AJ33:BB33">AJ34*AJ30</f>
        <v>0</v>
      </c>
      <c r="AK33" s="26">
        <f t="shared" si="5"/>
        <v>0</v>
      </c>
      <c r="AL33" s="26">
        <f t="shared" si="5"/>
        <v>0</v>
      </c>
      <c r="AM33" s="26">
        <f t="shared" si="5"/>
        <v>0</v>
      </c>
      <c r="AN33" s="26">
        <f t="shared" si="5"/>
        <v>0</v>
      </c>
      <c r="AO33" s="26">
        <f t="shared" si="5"/>
        <v>0</v>
      </c>
      <c r="AP33" s="26">
        <f t="shared" si="5"/>
        <v>0</v>
      </c>
      <c r="AQ33" s="26">
        <f t="shared" si="5"/>
        <v>0</v>
      </c>
      <c r="AR33" s="26">
        <f t="shared" si="5"/>
        <v>0</v>
      </c>
      <c r="AS33" s="26">
        <f t="shared" si="5"/>
        <v>0</v>
      </c>
      <c r="AT33" s="26">
        <f t="shared" si="5"/>
        <v>0</v>
      </c>
      <c r="AU33" s="26">
        <f t="shared" si="5"/>
        <v>0</v>
      </c>
      <c r="AV33" s="26">
        <f t="shared" si="5"/>
        <v>0</v>
      </c>
      <c r="AW33" s="26">
        <f t="shared" si="5"/>
        <v>0</v>
      </c>
      <c r="AX33" s="26">
        <f t="shared" si="5"/>
        <v>0</v>
      </c>
      <c r="AY33" s="26">
        <f t="shared" si="5"/>
        <v>0</v>
      </c>
      <c r="AZ33" s="26">
        <f t="shared" si="5"/>
        <v>0</v>
      </c>
      <c r="BA33" s="26">
        <f t="shared" si="5"/>
        <v>0</v>
      </c>
      <c r="BB33" s="26">
        <f t="shared" si="5"/>
        <v>0</v>
      </c>
    </row>
    <row r="34" spans="1:54" ht="14.25" customHeight="1" thickBot="1">
      <c r="A34" s="29" t="s">
        <v>24</v>
      </c>
      <c r="B34" s="27" t="s">
        <v>17</v>
      </c>
      <c r="C34" s="15">
        <f>SUM(D34:BB34)</f>
        <v>87508.34039189212</v>
      </c>
      <c r="D34" s="50">
        <f>D36+D37+D42</f>
        <v>87508.34039189212</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 ht="12.75">
      <c r="A35" s="12" t="s">
        <v>10</v>
      </c>
      <c r="C35" s="8"/>
    </row>
    <row r="36" spans="1:4" ht="12.75">
      <c r="A36" s="42" t="s">
        <v>72</v>
      </c>
      <c r="B36" s="43" t="s">
        <v>30</v>
      </c>
      <c r="C36" s="44">
        <f>E9</f>
        <v>30</v>
      </c>
      <c r="D36" s="57">
        <f>C36*1000*0.5</f>
        <v>15000</v>
      </c>
    </row>
    <row r="37" spans="1:4" ht="12.75">
      <c r="A37" s="42" t="s">
        <v>29</v>
      </c>
      <c r="B37" s="43" t="s">
        <v>30</v>
      </c>
      <c r="C37" s="44">
        <f>E10</f>
        <v>100</v>
      </c>
      <c r="D37" s="57">
        <f>C37*1000*0.5</f>
        <v>50000</v>
      </c>
    </row>
    <row r="38" ht="12.75">
      <c r="C38" s="8"/>
    </row>
    <row r="39" ht="12.75">
      <c r="A39" s="12" t="s">
        <v>11</v>
      </c>
    </row>
    <row r="40" spans="1:3" ht="12.75">
      <c r="A40" s="45" t="s">
        <v>19</v>
      </c>
      <c r="B40" s="46" t="s">
        <v>6</v>
      </c>
      <c r="C40" s="45">
        <v>40</v>
      </c>
    </row>
    <row r="41" spans="1:3" ht="12.75">
      <c r="A41" s="45" t="s">
        <v>68</v>
      </c>
      <c r="B41" s="46" t="s">
        <v>30</v>
      </c>
      <c r="C41" s="45">
        <f>E19</f>
        <v>80</v>
      </c>
    </row>
    <row r="42" spans="1:4" ht="12.75">
      <c r="A42" s="45" t="s">
        <v>75</v>
      </c>
      <c r="B42" s="46" t="s">
        <v>30</v>
      </c>
      <c r="C42" s="48">
        <f>C41*C44</f>
        <v>45.01668078378427</v>
      </c>
      <c r="D42" s="58">
        <f>C42*1000*0.5</f>
        <v>22508.340391892132</v>
      </c>
    </row>
    <row r="43" spans="1:3" ht="12.75">
      <c r="A43" s="10" t="s">
        <v>20</v>
      </c>
      <c r="B43" s="7" t="s">
        <v>17</v>
      </c>
      <c r="C43" s="23"/>
    </row>
    <row r="44" spans="1:3" ht="14.25" customHeight="1">
      <c r="A44" s="22" t="s">
        <v>23</v>
      </c>
      <c r="B44" s="21"/>
      <c r="C44" s="16">
        <f>(1-POWER(1+C30/100,-C29))/(1-POWER(1+C30/100,-C40))</f>
        <v>0.5627085097973034</v>
      </c>
    </row>
    <row r="45" spans="1:3" ht="12.75">
      <c r="A45" s="9"/>
      <c r="B45" s="7"/>
      <c r="C45" s="11"/>
    </row>
    <row r="46" spans="1:3" ht="12.75">
      <c r="A46" s="13" t="s">
        <v>12</v>
      </c>
      <c r="C46" s="11"/>
    </row>
    <row r="47" spans="1:3" ht="12.75">
      <c r="A47" s="9"/>
      <c r="C47" s="11"/>
    </row>
    <row r="48" spans="4:54" ht="15" thickBot="1">
      <c r="D48" s="28" t="s">
        <v>5</v>
      </c>
      <c r="E48" s="28">
        <f aca="true" t="shared" si="6" ref="E48:AJ48">E32</f>
        <v>1</v>
      </c>
      <c r="F48" s="28">
        <f t="shared" si="6"/>
        <v>2</v>
      </c>
      <c r="G48" s="28">
        <f t="shared" si="6"/>
        <v>3</v>
      </c>
      <c r="H48" s="28">
        <f t="shared" si="6"/>
        <v>4</v>
      </c>
      <c r="I48" s="28">
        <f t="shared" si="6"/>
        <v>5</v>
      </c>
      <c r="J48" s="28">
        <f t="shared" si="6"/>
        <v>6</v>
      </c>
      <c r="K48" s="28">
        <f t="shared" si="6"/>
        <v>7</v>
      </c>
      <c r="L48" s="28">
        <f t="shared" si="6"/>
        <v>8</v>
      </c>
      <c r="M48" s="28">
        <f t="shared" si="6"/>
        <v>9</v>
      </c>
      <c r="N48" s="28">
        <f t="shared" si="6"/>
        <v>10</v>
      </c>
      <c r="O48" s="28">
        <f t="shared" si="6"/>
      </c>
      <c r="P48" s="28">
        <f t="shared" si="6"/>
      </c>
      <c r="Q48" s="28">
        <f t="shared" si="6"/>
      </c>
      <c r="R48" s="28">
        <f t="shared" si="6"/>
      </c>
      <c r="S48" s="28">
        <f t="shared" si="6"/>
      </c>
      <c r="T48" s="28">
        <f t="shared" si="6"/>
      </c>
      <c r="U48" s="28">
        <f t="shared" si="6"/>
      </c>
      <c r="V48" s="28">
        <f t="shared" si="6"/>
      </c>
      <c r="W48" s="28">
        <f t="shared" si="6"/>
      </c>
      <c r="X48" s="28">
        <f t="shared" si="6"/>
      </c>
      <c r="Y48" s="28">
        <f t="shared" si="6"/>
      </c>
      <c r="Z48" s="28">
        <f t="shared" si="6"/>
      </c>
      <c r="AA48" s="28">
        <f t="shared" si="6"/>
      </c>
      <c r="AB48" s="28">
        <f t="shared" si="6"/>
      </c>
      <c r="AC48" s="28">
        <f t="shared" si="6"/>
      </c>
      <c r="AD48" s="28">
        <f t="shared" si="6"/>
      </c>
      <c r="AE48" s="28">
        <f t="shared" si="6"/>
      </c>
      <c r="AF48" s="28">
        <f t="shared" si="6"/>
      </c>
      <c r="AG48" s="28">
        <f t="shared" si="6"/>
      </c>
      <c r="AH48" s="28">
        <f t="shared" si="6"/>
      </c>
      <c r="AI48" s="28">
        <f t="shared" si="6"/>
      </c>
      <c r="AJ48" s="28">
        <f t="shared" si="6"/>
      </c>
      <c r="AK48" s="28">
        <f aca="true" t="shared" si="7" ref="AK48:BB48">AK32</f>
      </c>
      <c r="AL48" s="28">
        <f t="shared" si="7"/>
      </c>
      <c r="AM48" s="28">
        <f t="shared" si="7"/>
      </c>
      <c r="AN48" s="28">
        <f t="shared" si="7"/>
      </c>
      <c r="AO48" s="28">
        <f t="shared" si="7"/>
      </c>
      <c r="AP48" s="28">
        <f t="shared" si="7"/>
      </c>
      <c r="AQ48" s="28">
        <f t="shared" si="7"/>
      </c>
      <c r="AR48" s="28">
        <f t="shared" si="7"/>
      </c>
      <c r="AS48" s="28">
        <f t="shared" si="7"/>
      </c>
      <c r="AT48" s="28">
        <f t="shared" si="7"/>
      </c>
      <c r="AU48" s="28">
        <f t="shared" si="7"/>
      </c>
      <c r="AV48" s="28">
        <f t="shared" si="7"/>
      </c>
      <c r="AW48" s="28">
        <f t="shared" si="7"/>
      </c>
      <c r="AX48" s="28">
        <f t="shared" si="7"/>
      </c>
      <c r="AY48" s="28">
        <f t="shared" si="7"/>
      </c>
      <c r="AZ48" s="28">
        <f t="shared" si="7"/>
      </c>
      <c r="BA48" s="28">
        <f t="shared" si="7"/>
      </c>
      <c r="BB48" s="28">
        <f t="shared" si="7"/>
      </c>
    </row>
    <row r="49" spans="1:54" ht="19.5" thickBot="1">
      <c r="A49" s="25" t="s">
        <v>15</v>
      </c>
      <c r="B49" s="21" t="s">
        <v>17</v>
      </c>
      <c r="C49" s="15">
        <f>SUM(E49:BB49)</f>
        <v>73635.24220656948</v>
      </c>
      <c r="D49" s="1"/>
      <c r="E49" s="26">
        <f aca="true" t="shared" si="8" ref="E49:AJ49">E50*E30</f>
        <v>10160.946755676261</v>
      </c>
      <c r="F49" s="26">
        <f t="shared" si="8"/>
        <v>9408.284033033575</v>
      </c>
      <c r="G49" s="26">
        <f t="shared" si="8"/>
        <v>8711.374104660717</v>
      </c>
      <c r="H49" s="26">
        <f t="shared" si="8"/>
        <v>8066.087133945108</v>
      </c>
      <c r="I49" s="26">
        <f t="shared" si="8"/>
        <v>7468.599198097322</v>
      </c>
      <c r="J49" s="26">
        <f t="shared" si="8"/>
        <v>6915.36962786789</v>
      </c>
      <c r="K49" s="26">
        <f t="shared" si="8"/>
        <v>6403.1200258036015</v>
      </c>
      <c r="L49" s="26">
        <f t="shared" si="8"/>
        <v>5928.814838707038</v>
      </c>
      <c r="M49" s="26">
        <f t="shared" si="8"/>
        <v>5489.643369173182</v>
      </c>
      <c r="N49" s="26">
        <f t="shared" si="8"/>
        <v>5083.003119604798</v>
      </c>
      <c r="O49" s="26">
        <f t="shared" si="8"/>
        <v>0</v>
      </c>
      <c r="P49" s="26">
        <f t="shared" si="8"/>
        <v>0</v>
      </c>
      <c r="Q49" s="26">
        <f t="shared" si="8"/>
        <v>0</v>
      </c>
      <c r="R49" s="26">
        <f t="shared" si="8"/>
        <v>0</v>
      </c>
      <c r="S49" s="26">
        <f t="shared" si="8"/>
        <v>0</v>
      </c>
      <c r="T49" s="26">
        <f t="shared" si="8"/>
        <v>0</v>
      </c>
      <c r="U49" s="26">
        <f t="shared" si="8"/>
        <v>0</v>
      </c>
      <c r="V49" s="26">
        <f t="shared" si="8"/>
        <v>0</v>
      </c>
      <c r="W49" s="26">
        <f t="shared" si="8"/>
        <v>0</v>
      </c>
      <c r="X49" s="26">
        <f t="shared" si="8"/>
        <v>0</v>
      </c>
      <c r="Y49" s="26">
        <f t="shared" si="8"/>
        <v>0</v>
      </c>
      <c r="Z49" s="26">
        <f t="shared" si="8"/>
        <v>0</v>
      </c>
      <c r="AA49" s="26">
        <f t="shared" si="8"/>
        <v>0</v>
      </c>
      <c r="AB49" s="26">
        <f t="shared" si="8"/>
        <v>0</v>
      </c>
      <c r="AC49" s="26">
        <f t="shared" si="8"/>
        <v>0</v>
      </c>
      <c r="AD49" s="26">
        <f t="shared" si="8"/>
        <v>0</v>
      </c>
      <c r="AE49" s="26">
        <f t="shared" si="8"/>
        <v>0</v>
      </c>
      <c r="AF49" s="26">
        <f t="shared" si="8"/>
        <v>0</v>
      </c>
      <c r="AG49" s="26">
        <f t="shared" si="8"/>
        <v>0</v>
      </c>
      <c r="AH49" s="26">
        <f t="shared" si="8"/>
        <v>0</v>
      </c>
      <c r="AI49" s="26">
        <f t="shared" si="8"/>
        <v>0</v>
      </c>
      <c r="AJ49" s="26">
        <f t="shared" si="8"/>
        <v>0</v>
      </c>
      <c r="AK49" s="26">
        <f aca="true" t="shared" si="9" ref="AK49:BB49">AK50*AK30</f>
        <v>0</v>
      </c>
      <c r="AL49" s="26">
        <f t="shared" si="9"/>
        <v>0</v>
      </c>
      <c r="AM49" s="26">
        <f t="shared" si="9"/>
        <v>0</v>
      </c>
      <c r="AN49" s="26">
        <f t="shared" si="9"/>
        <v>0</v>
      </c>
      <c r="AO49" s="26">
        <f t="shared" si="9"/>
        <v>0</v>
      </c>
      <c r="AP49" s="26">
        <f t="shared" si="9"/>
        <v>0</v>
      </c>
      <c r="AQ49" s="26">
        <f t="shared" si="9"/>
        <v>0</v>
      </c>
      <c r="AR49" s="26">
        <f t="shared" si="9"/>
        <v>0</v>
      </c>
      <c r="AS49" s="26">
        <f t="shared" si="9"/>
        <v>0</v>
      </c>
      <c r="AT49" s="26">
        <f t="shared" si="9"/>
        <v>0</v>
      </c>
      <c r="AU49" s="26">
        <f t="shared" si="9"/>
        <v>0</v>
      </c>
      <c r="AV49" s="26">
        <f t="shared" si="9"/>
        <v>0</v>
      </c>
      <c r="AW49" s="26">
        <f t="shared" si="9"/>
        <v>0</v>
      </c>
      <c r="AX49" s="26">
        <f t="shared" si="9"/>
        <v>0</v>
      </c>
      <c r="AY49" s="26">
        <f t="shared" si="9"/>
        <v>0</v>
      </c>
      <c r="AZ49" s="26">
        <f t="shared" si="9"/>
        <v>0</v>
      </c>
      <c r="BA49" s="26">
        <f t="shared" si="9"/>
        <v>0</v>
      </c>
      <c r="BB49" s="26">
        <f t="shared" si="9"/>
        <v>0</v>
      </c>
    </row>
    <row r="50" spans="1:54" ht="15.75" thickBot="1">
      <c r="A50" s="29" t="s">
        <v>25</v>
      </c>
      <c r="B50" s="7" t="s">
        <v>17</v>
      </c>
      <c r="C50" s="15">
        <f>SUM(E50:BB50)</f>
        <v>109738.22496130364</v>
      </c>
      <c r="E50" s="30">
        <f aca="true" t="shared" si="10" ref="E50:X50">E55+E59+E62-E68</f>
        <v>10973.822496130364</v>
      </c>
      <c r="F50" s="30">
        <f t="shared" si="10"/>
        <v>10973.822496130364</v>
      </c>
      <c r="G50" s="30">
        <f t="shared" si="10"/>
        <v>10973.822496130364</v>
      </c>
      <c r="H50" s="30">
        <f t="shared" si="10"/>
        <v>10973.822496130364</v>
      </c>
      <c r="I50" s="30">
        <f t="shared" si="10"/>
        <v>10973.822496130364</v>
      </c>
      <c r="J50" s="30">
        <f t="shared" si="10"/>
        <v>10973.822496130364</v>
      </c>
      <c r="K50" s="30">
        <f t="shared" si="10"/>
        <v>10973.822496130364</v>
      </c>
      <c r="L50" s="30">
        <f t="shared" si="10"/>
        <v>10973.822496130364</v>
      </c>
      <c r="M50" s="30">
        <f t="shared" si="10"/>
        <v>10973.822496130364</v>
      </c>
      <c r="N50" s="30">
        <f t="shared" si="10"/>
        <v>10973.822496130364</v>
      </c>
      <c r="O50" s="30">
        <f t="shared" si="10"/>
        <v>0</v>
      </c>
      <c r="P50" s="30">
        <f t="shared" si="10"/>
        <v>0</v>
      </c>
      <c r="Q50" s="30">
        <f t="shared" si="10"/>
        <v>0</v>
      </c>
      <c r="R50" s="30">
        <f t="shared" si="10"/>
        <v>0</v>
      </c>
      <c r="S50" s="30">
        <f t="shared" si="10"/>
        <v>0</v>
      </c>
      <c r="T50" s="30">
        <f t="shared" si="10"/>
        <v>0</v>
      </c>
      <c r="U50" s="30">
        <f t="shared" si="10"/>
        <v>0</v>
      </c>
      <c r="V50" s="30">
        <f t="shared" si="10"/>
        <v>0</v>
      </c>
      <c r="W50" s="30">
        <f t="shared" si="10"/>
        <v>0</v>
      </c>
      <c r="X50" s="30">
        <f t="shared" si="10"/>
        <v>0</v>
      </c>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ht="12.75">
      <c r="A51" s="12" t="s">
        <v>13</v>
      </c>
    </row>
    <row r="52" spans="1:3" ht="12.75">
      <c r="A52" s="42" t="s">
        <v>46</v>
      </c>
      <c r="B52" s="46" t="s">
        <v>48</v>
      </c>
      <c r="C52" s="45">
        <f>E8*E17*24/1000</f>
        <v>624.96</v>
      </c>
    </row>
    <row r="53" spans="1:3" ht="12.75">
      <c r="A53" s="42" t="s">
        <v>47</v>
      </c>
      <c r="B53" s="46" t="s">
        <v>48</v>
      </c>
      <c r="C53" s="45">
        <f>E8/2*E18*24/1000</f>
        <v>300.72</v>
      </c>
    </row>
    <row r="54" spans="1:3" ht="12.75">
      <c r="A54" s="42" t="s">
        <v>51</v>
      </c>
      <c r="B54" s="46" t="s">
        <v>53</v>
      </c>
      <c r="C54" s="47">
        <f>(C52/(E14/100)+C53/(E15/100))*859845/E12/1000</f>
        <v>489.6991185324554</v>
      </c>
    </row>
    <row r="55" spans="1:14" ht="12.75">
      <c r="A55" s="42" t="s">
        <v>54</v>
      </c>
      <c r="B55" s="46" t="s">
        <v>55</v>
      </c>
      <c r="C55" s="47">
        <f>C54*E11</f>
        <v>122.42477963311384</v>
      </c>
      <c r="E55">
        <f>C55*1000</f>
        <v>122424.77963311384</v>
      </c>
      <c r="F55">
        <f aca="true" t="shared" si="11" ref="F55:N55">E55</f>
        <v>122424.77963311384</v>
      </c>
      <c r="G55">
        <f t="shared" si="11"/>
        <v>122424.77963311384</v>
      </c>
      <c r="H55">
        <f t="shared" si="11"/>
        <v>122424.77963311384</v>
      </c>
      <c r="I55">
        <f t="shared" si="11"/>
        <v>122424.77963311384</v>
      </c>
      <c r="J55">
        <f t="shared" si="11"/>
        <v>122424.77963311384</v>
      </c>
      <c r="K55">
        <f t="shared" si="11"/>
        <v>122424.77963311384</v>
      </c>
      <c r="L55">
        <f t="shared" si="11"/>
        <v>122424.77963311384</v>
      </c>
      <c r="M55">
        <f t="shared" si="11"/>
        <v>122424.77963311384</v>
      </c>
      <c r="N55">
        <f t="shared" si="11"/>
        <v>122424.77963311384</v>
      </c>
    </row>
    <row r="56" ht="12.75">
      <c r="A56" s="12"/>
    </row>
    <row r="57" ht="12.75">
      <c r="A57" s="12" t="s">
        <v>14</v>
      </c>
    </row>
    <row r="58" spans="1:3" ht="12.75">
      <c r="A58" s="42" t="s">
        <v>58</v>
      </c>
      <c r="B58" s="46" t="s">
        <v>59</v>
      </c>
      <c r="C58" s="45">
        <f>E22*365*24</f>
        <v>17520</v>
      </c>
    </row>
    <row r="59" spans="1:14" ht="12.75">
      <c r="A59" s="42" t="s">
        <v>60</v>
      </c>
      <c r="B59" s="46" t="s">
        <v>61</v>
      </c>
      <c r="C59" s="45">
        <f>C58*E23/100</f>
        <v>6377.28</v>
      </c>
      <c r="E59">
        <f>C59</f>
        <v>6377.28</v>
      </c>
      <c r="F59">
        <f aca="true" t="shared" si="12" ref="F59:N59">E59</f>
        <v>6377.28</v>
      </c>
      <c r="G59">
        <f t="shared" si="12"/>
        <v>6377.28</v>
      </c>
      <c r="H59">
        <f t="shared" si="12"/>
        <v>6377.28</v>
      </c>
      <c r="I59">
        <f t="shared" si="12"/>
        <v>6377.28</v>
      </c>
      <c r="J59">
        <f t="shared" si="12"/>
        <v>6377.28</v>
      </c>
      <c r="K59">
        <f t="shared" si="12"/>
        <v>6377.28</v>
      </c>
      <c r="L59">
        <f t="shared" si="12"/>
        <v>6377.28</v>
      </c>
      <c r="M59">
        <f t="shared" si="12"/>
        <v>6377.28</v>
      </c>
      <c r="N59">
        <f t="shared" si="12"/>
        <v>6377.28</v>
      </c>
    </row>
    <row r="60" ht="12.75">
      <c r="B60" s="7"/>
    </row>
    <row r="61" spans="1:2" ht="12.75">
      <c r="A61" s="12" t="s">
        <v>18</v>
      </c>
      <c r="B61" s="7"/>
    </row>
    <row r="62" spans="1:14" ht="12.75">
      <c r="A62" s="42" t="s">
        <v>62</v>
      </c>
      <c r="B62" s="46" t="s">
        <v>61</v>
      </c>
      <c r="C62" s="45">
        <f>E24*1.34*12</f>
        <v>28944</v>
      </c>
      <c r="E62">
        <f>C62</f>
        <v>28944</v>
      </c>
      <c r="F62">
        <f aca="true" t="shared" si="13" ref="F62:N62">E62</f>
        <v>28944</v>
      </c>
      <c r="G62">
        <f t="shared" si="13"/>
        <v>28944</v>
      </c>
      <c r="H62">
        <f t="shared" si="13"/>
        <v>28944</v>
      </c>
      <c r="I62">
        <f t="shared" si="13"/>
        <v>28944</v>
      </c>
      <c r="J62">
        <f t="shared" si="13"/>
        <v>28944</v>
      </c>
      <c r="K62">
        <f t="shared" si="13"/>
        <v>28944</v>
      </c>
      <c r="L62">
        <f t="shared" si="13"/>
        <v>28944</v>
      </c>
      <c r="M62">
        <f t="shared" si="13"/>
        <v>28944</v>
      </c>
      <c r="N62">
        <f t="shared" si="13"/>
        <v>28944</v>
      </c>
    </row>
    <row r="63" ht="12.75">
      <c r="B63" s="7"/>
    </row>
    <row r="64" spans="1:2" ht="12.75">
      <c r="A64" s="12" t="s">
        <v>16</v>
      </c>
      <c r="B64" s="7"/>
    </row>
    <row r="65" spans="1:2" ht="12.75">
      <c r="A65" s="5"/>
      <c r="B65" s="7"/>
    </row>
    <row r="66" spans="1:2" ht="12.75">
      <c r="A66" s="52" t="s">
        <v>65</v>
      </c>
      <c r="B66" s="7"/>
    </row>
    <row r="67" spans="1:3" ht="12.75">
      <c r="A67" s="42" t="s">
        <v>66</v>
      </c>
      <c r="B67" s="46" t="s">
        <v>53</v>
      </c>
      <c r="C67" s="48">
        <f>(C52+C53)/(E20/100)*859845/E21/1000</f>
        <v>82.2253429338843</v>
      </c>
    </row>
    <row r="68" spans="1:14" ht="12.75">
      <c r="A68" s="42" t="s">
        <v>67</v>
      </c>
      <c r="B68" s="46" t="s">
        <v>55</v>
      </c>
      <c r="C68" s="48">
        <f>C67*E16/1000</f>
        <v>146.77223713698348</v>
      </c>
      <c r="E68">
        <f>C68*1000</f>
        <v>146772.2371369835</v>
      </c>
      <c r="F68">
        <f aca="true" t="shared" si="14" ref="F68:N68">E68</f>
        <v>146772.2371369835</v>
      </c>
      <c r="G68">
        <f t="shared" si="14"/>
        <v>146772.2371369835</v>
      </c>
      <c r="H68">
        <f t="shared" si="14"/>
        <v>146772.2371369835</v>
      </c>
      <c r="I68">
        <f t="shared" si="14"/>
        <v>146772.2371369835</v>
      </c>
      <c r="J68">
        <f t="shared" si="14"/>
        <v>146772.2371369835</v>
      </c>
      <c r="K68">
        <f t="shared" si="14"/>
        <v>146772.2371369835</v>
      </c>
      <c r="L68">
        <f t="shared" si="14"/>
        <v>146772.2371369835</v>
      </c>
      <c r="M68">
        <f t="shared" si="14"/>
        <v>146772.2371369835</v>
      </c>
      <c r="N68">
        <f t="shared" si="14"/>
        <v>146772.2371369835</v>
      </c>
    </row>
    <row r="69" ht="12.75">
      <c r="A69" s="5"/>
    </row>
    <row r="70" ht="13.5" thickBot="1"/>
    <row r="71" spans="1:3" ht="15.75" thickBot="1">
      <c r="A71" s="19" t="s">
        <v>74</v>
      </c>
      <c r="B71" s="17" t="s">
        <v>7</v>
      </c>
      <c r="C71" s="15">
        <f>(C52+C53)*1000</f>
        <v>925680.0000000001</v>
      </c>
    </row>
    <row r="72" spans="1:3" ht="12.75">
      <c r="A72" s="6"/>
      <c r="B72" s="7"/>
      <c r="C72" s="2"/>
    </row>
    <row r="73" ht="13.5" thickBot="1"/>
    <row r="74" spans="1:3" ht="33" thickBot="1" thickTop="1">
      <c r="A74" s="54" t="s">
        <v>73</v>
      </c>
      <c r="B74" s="37" t="s">
        <v>8</v>
      </c>
      <c r="C74" s="64">
        <f>IF(C71&gt;0,C32*100/C71*C30/100/(1-POWER(1+C30/100,-C29)),"")</f>
        <v>2.5943247905824536</v>
      </c>
    </row>
    <row r="75" ht="13.5" thickTop="1"/>
  </sheetData>
  <sheetProtection/>
  <mergeCells count="23">
    <mergeCell ref="A26:C26"/>
    <mergeCell ref="A19:C19"/>
    <mergeCell ref="A21:C21"/>
    <mergeCell ref="A22:C22"/>
    <mergeCell ref="A23:C23"/>
    <mergeCell ref="A15:C15"/>
    <mergeCell ref="A20:C20"/>
    <mergeCell ref="A24:C24"/>
    <mergeCell ref="A25:C25"/>
    <mergeCell ref="A18:C18"/>
    <mergeCell ref="A9:C9"/>
    <mergeCell ref="A10:C10"/>
    <mergeCell ref="A11:C11"/>
    <mergeCell ref="A13:C13"/>
    <mergeCell ref="A16:C16"/>
    <mergeCell ref="A12:C12"/>
    <mergeCell ref="A14:C14"/>
    <mergeCell ref="A2:D2"/>
    <mergeCell ref="A1:D1"/>
    <mergeCell ref="A6:I6"/>
    <mergeCell ref="A7:C7"/>
    <mergeCell ref="A8:C8"/>
    <mergeCell ref="A17:C17"/>
  </mergeCells>
  <printOptions gridLines="1"/>
  <pageMargins left="1.26" right="0.37" top="0.68" bottom="0.63" header="0.5" footer="0.5"/>
  <pageSetup fitToHeight="1" fitToWidth="1" horizontalDpi="200" verticalDpi="200" orientation="portrait"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74"/>
  <sheetViews>
    <sheetView zoomScalePageLayoutView="0" workbookViewId="0" topLeftCell="A50">
      <selection activeCell="C74" sqref="C74"/>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28</v>
      </c>
      <c r="B2" s="66"/>
      <c r="C2" s="66"/>
      <c r="D2" s="66"/>
      <c r="E2" s="1"/>
    </row>
    <row r="3" spans="1:5" ht="24" customHeight="1">
      <c r="A3" s="55" t="s">
        <v>78</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69</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70</v>
      </c>
      <c r="B8" s="76"/>
      <c r="C8" s="77"/>
      <c r="D8" s="33" t="s">
        <v>31</v>
      </c>
      <c r="E8" s="51">
        <v>140</v>
      </c>
      <c r="F8" s="32"/>
      <c r="G8" s="32"/>
      <c r="H8" s="32"/>
      <c r="I8" s="32"/>
    </row>
    <row r="9" spans="1:9" ht="15" customHeight="1">
      <c r="A9" s="78" t="s">
        <v>32</v>
      </c>
      <c r="B9" s="79"/>
      <c r="C9" s="80"/>
      <c r="D9" s="33" t="s">
        <v>30</v>
      </c>
      <c r="E9" s="51">
        <v>30</v>
      </c>
      <c r="F9" s="32"/>
      <c r="G9" s="32"/>
      <c r="H9" s="32"/>
      <c r="I9" s="32"/>
    </row>
    <row r="10" spans="1:9" ht="15" customHeight="1">
      <c r="A10" s="78" t="s">
        <v>71</v>
      </c>
      <c r="B10" s="81"/>
      <c r="C10" s="80"/>
      <c r="D10" s="33" t="s">
        <v>30</v>
      </c>
      <c r="E10" s="53">
        <v>100</v>
      </c>
      <c r="F10" s="32"/>
      <c r="G10" s="32"/>
      <c r="H10" s="32"/>
      <c r="I10" s="32"/>
    </row>
    <row r="11" spans="1:9" ht="15" customHeight="1">
      <c r="A11" s="78" t="s">
        <v>33</v>
      </c>
      <c r="B11" s="79"/>
      <c r="C11" s="80"/>
      <c r="D11" s="33" t="s">
        <v>34</v>
      </c>
      <c r="E11" s="41">
        <v>0.25</v>
      </c>
      <c r="F11" s="32"/>
      <c r="G11" s="32"/>
      <c r="H11" s="32"/>
      <c r="I11" s="32"/>
    </row>
    <row r="12" spans="1:9" ht="15" customHeight="1">
      <c r="A12" s="78" t="s">
        <v>44</v>
      </c>
      <c r="B12" s="81"/>
      <c r="C12" s="80"/>
      <c r="D12" s="33" t="s">
        <v>43</v>
      </c>
      <c r="E12" s="41">
        <v>2126</v>
      </c>
      <c r="F12" s="32"/>
      <c r="G12" s="32"/>
      <c r="H12" s="32"/>
      <c r="I12" s="32"/>
    </row>
    <row r="13" spans="1:9" ht="15" customHeight="1">
      <c r="A13" s="78" t="s">
        <v>35</v>
      </c>
      <c r="B13" s="79"/>
      <c r="C13" s="80"/>
      <c r="D13" s="33" t="s">
        <v>36</v>
      </c>
      <c r="E13" s="51">
        <v>10</v>
      </c>
      <c r="F13" s="32"/>
      <c r="G13" s="32"/>
      <c r="H13" s="32"/>
      <c r="I13" s="32"/>
    </row>
    <row r="14" spans="1:9" ht="15" customHeight="1">
      <c r="A14" s="78" t="s">
        <v>49</v>
      </c>
      <c r="B14" s="81"/>
      <c r="C14" s="80"/>
      <c r="D14" s="33" t="s">
        <v>3</v>
      </c>
      <c r="E14" s="41">
        <v>80</v>
      </c>
      <c r="F14" s="32"/>
      <c r="G14" s="32"/>
      <c r="H14" s="32"/>
      <c r="I14" s="32"/>
    </row>
    <row r="15" spans="1:9" ht="15" customHeight="1">
      <c r="A15" s="78" t="s">
        <v>50</v>
      </c>
      <c r="B15" s="81"/>
      <c r="C15" s="80"/>
      <c r="D15" s="33" t="s">
        <v>3</v>
      </c>
      <c r="E15" s="41">
        <v>70</v>
      </c>
      <c r="F15" s="32"/>
      <c r="G15" s="32"/>
      <c r="H15" s="32"/>
      <c r="I15" s="32"/>
    </row>
    <row r="16" spans="1:9" ht="15" customHeight="1">
      <c r="A16" s="78" t="s">
        <v>37</v>
      </c>
      <c r="B16" s="79"/>
      <c r="C16" s="80"/>
      <c r="D16" s="33" t="s">
        <v>38</v>
      </c>
      <c r="E16" s="41">
        <v>1785</v>
      </c>
      <c r="F16" s="32"/>
      <c r="G16" s="32"/>
      <c r="H16" s="32"/>
      <c r="I16" s="32"/>
    </row>
    <row r="17" spans="1:9" ht="15" customHeight="1">
      <c r="A17" s="78" t="s">
        <v>39</v>
      </c>
      <c r="B17" s="79"/>
      <c r="C17" s="80"/>
      <c r="D17" s="33" t="s">
        <v>41</v>
      </c>
      <c r="E17" s="41">
        <v>186</v>
      </c>
      <c r="F17" s="32"/>
      <c r="G17" s="32"/>
      <c r="H17" s="32"/>
      <c r="I17" s="32"/>
    </row>
    <row r="18" spans="1:9" ht="15" customHeight="1">
      <c r="A18" s="78" t="s">
        <v>40</v>
      </c>
      <c r="B18" s="79"/>
      <c r="C18" s="80"/>
      <c r="D18" s="33" t="s">
        <v>41</v>
      </c>
      <c r="E18" s="41">
        <f>365-E17</f>
        <v>179</v>
      </c>
      <c r="F18" s="32"/>
      <c r="G18" s="32"/>
      <c r="H18" s="32"/>
      <c r="I18" s="32"/>
    </row>
    <row r="19" spans="1:9" ht="15" customHeight="1">
      <c r="A19" s="78" t="s">
        <v>42</v>
      </c>
      <c r="B19" s="79"/>
      <c r="C19" s="80"/>
      <c r="D19" s="33" t="s">
        <v>30</v>
      </c>
      <c r="E19" s="41">
        <v>80</v>
      </c>
      <c r="F19" s="32"/>
      <c r="G19" s="32"/>
      <c r="H19" s="32"/>
      <c r="I19" s="32"/>
    </row>
    <row r="20" spans="1:9" ht="15" customHeight="1">
      <c r="A20" s="78" t="s">
        <v>52</v>
      </c>
      <c r="B20" s="81"/>
      <c r="C20" s="80"/>
      <c r="D20" s="33" t="s">
        <v>3</v>
      </c>
      <c r="E20" s="41">
        <v>88</v>
      </c>
      <c r="F20" s="32"/>
      <c r="G20" s="32"/>
      <c r="H20" s="32"/>
      <c r="I20" s="32"/>
    </row>
    <row r="21" spans="1:9" ht="15" customHeight="1">
      <c r="A21" s="78" t="s">
        <v>45</v>
      </c>
      <c r="B21" s="79"/>
      <c r="C21" s="80"/>
      <c r="D21" s="33" t="s">
        <v>43</v>
      </c>
      <c r="E21" s="41">
        <v>11000</v>
      </c>
      <c r="F21" s="32"/>
      <c r="G21" s="32"/>
      <c r="H21" s="32"/>
      <c r="I21" s="32"/>
    </row>
    <row r="22" spans="1:9" ht="15" customHeight="1">
      <c r="A22" s="78" t="s">
        <v>56</v>
      </c>
      <c r="B22" s="79"/>
      <c r="C22" s="80"/>
      <c r="D22" s="33" t="s">
        <v>31</v>
      </c>
      <c r="E22" s="41">
        <v>2</v>
      </c>
      <c r="F22" s="32"/>
      <c r="G22" s="32"/>
      <c r="H22" s="32"/>
      <c r="I22" s="32"/>
    </row>
    <row r="23" spans="1:9" ht="15" customHeight="1">
      <c r="A23" s="78" t="s">
        <v>57</v>
      </c>
      <c r="B23" s="79"/>
      <c r="C23" s="80"/>
      <c r="D23" s="33" t="s">
        <v>8</v>
      </c>
      <c r="E23" s="41">
        <v>36.4</v>
      </c>
      <c r="F23" s="32"/>
      <c r="G23" s="32"/>
      <c r="H23" s="32"/>
      <c r="I23" s="32"/>
    </row>
    <row r="24" spans="1:9" ht="15" customHeight="1">
      <c r="A24" s="78" t="s">
        <v>63</v>
      </c>
      <c r="B24" s="79"/>
      <c r="C24" s="80"/>
      <c r="D24" s="33" t="s">
        <v>64</v>
      </c>
      <c r="E24" s="41">
        <v>1800</v>
      </c>
      <c r="F24" s="32"/>
      <c r="G24" s="32"/>
      <c r="H24" s="32"/>
      <c r="I24" s="32"/>
    </row>
    <row r="25" spans="1:9" ht="15" customHeight="1">
      <c r="A25" s="78"/>
      <c r="B25" s="79"/>
      <c r="C25" s="80"/>
      <c r="D25" s="32"/>
      <c r="E25" s="41"/>
      <c r="F25" s="32"/>
      <c r="G25" s="32"/>
      <c r="H25" s="32"/>
      <c r="I25" s="32"/>
    </row>
    <row r="26" spans="1:9" ht="15" customHeight="1" thickBot="1">
      <c r="A26" s="82"/>
      <c r="B26" s="83"/>
      <c r="C26" s="84"/>
      <c r="D26" s="32"/>
      <c r="E26" s="32"/>
      <c r="F26" s="32"/>
      <c r="G26" s="32"/>
      <c r="H26" s="32"/>
      <c r="I26" s="32"/>
    </row>
    <row r="27" spans="1:9" ht="15" customHeight="1" thickBot="1">
      <c r="A27" s="31"/>
      <c r="B27" s="36"/>
      <c r="C27" s="36"/>
      <c r="D27" s="32"/>
      <c r="E27" s="32"/>
      <c r="F27" s="32"/>
      <c r="G27" s="32"/>
      <c r="H27" s="32"/>
      <c r="I27" s="32"/>
    </row>
    <row r="28" spans="1:3" ht="14.25" thickBot="1" thickTop="1">
      <c r="A28" s="34" t="s">
        <v>0</v>
      </c>
      <c r="B28" s="3" t="s">
        <v>1</v>
      </c>
      <c r="C28" s="2"/>
    </row>
    <row r="29" spans="1:3" ht="25.5" customHeight="1" thickTop="1">
      <c r="A29" s="18" t="s">
        <v>22</v>
      </c>
      <c r="B29" s="38" t="s">
        <v>6</v>
      </c>
      <c r="C29" s="39">
        <f>E13</f>
        <v>10</v>
      </c>
    </row>
    <row r="30" spans="1:54" ht="15" thickBot="1">
      <c r="A30" s="16" t="s">
        <v>2</v>
      </c>
      <c r="B30" s="38" t="s">
        <v>3</v>
      </c>
      <c r="C30" s="40">
        <v>8</v>
      </c>
      <c r="D30" s="14">
        <v>1</v>
      </c>
      <c r="E30" s="14">
        <f>1/(1+C30/100)</f>
        <v>0.9259259259259258</v>
      </c>
      <c r="F30" s="14">
        <f aca="true" t="shared" si="0" ref="F30:AK30">E30/(1+$C30/100)</f>
        <v>0.8573388203017831</v>
      </c>
      <c r="G30" s="14">
        <f t="shared" si="0"/>
        <v>0.7938322410201695</v>
      </c>
      <c r="H30" s="14">
        <f t="shared" si="0"/>
        <v>0.7350298527964532</v>
      </c>
      <c r="I30" s="14">
        <f t="shared" si="0"/>
        <v>0.6805831970337529</v>
      </c>
      <c r="J30" s="14">
        <f t="shared" si="0"/>
        <v>0.6301696268831045</v>
      </c>
      <c r="K30" s="14">
        <f t="shared" si="0"/>
        <v>0.5834903952621338</v>
      </c>
      <c r="L30" s="14">
        <f t="shared" si="0"/>
        <v>0.5402688845019756</v>
      </c>
      <c r="M30" s="14">
        <f t="shared" si="0"/>
        <v>0.5002489671314588</v>
      </c>
      <c r="N30" s="14">
        <f t="shared" si="0"/>
        <v>0.4631934880846841</v>
      </c>
      <c r="O30" s="14">
        <f t="shared" si="0"/>
        <v>0.4288828593376704</v>
      </c>
      <c r="P30" s="14">
        <f t="shared" si="0"/>
        <v>0.3971137586459911</v>
      </c>
      <c r="Q30" s="14">
        <f t="shared" si="0"/>
        <v>0.36769792467221396</v>
      </c>
      <c r="R30" s="14">
        <f t="shared" si="0"/>
        <v>0.3404610413631611</v>
      </c>
      <c r="S30" s="14">
        <f t="shared" si="0"/>
        <v>0.3152417049658899</v>
      </c>
      <c r="T30" s="14">
        <f t="shared" si="0"/>
        <v>0.2918904675610091</v>
      </c>
      <c r="U30" s="14">
        <f t="shared" si="0"/>
        <v>0.27026895144537877</v>
      </c>
      <c r="V30" s="14">
        <f t="shared" si="0"/>
        <v>0.2502490291160914</v>
      </c>
      <c r="W30" s="14">
        <f t="shared" si="0"/>
        <v>0.23171206399638095</v>
      </c>
      <c r="X30" s="14">
        <f t="shared" si="0"/>
        <v>0.21454820740405642</v>
      </c>
      <c r="Y30" s="14">
        <f t="shared" si="0"/>
        <v>0.19865574759634852</v>
      </c>
      <c r="Z30" s="14">
        <f t="shared" si="0"/>
        <v>0.18394050703365603</v>
      </c>
      <c r="AA30" s="14">
        <f t="shared" si="0"/>
        <v>0.17031528429042223</v>
      </c>
      <c r="AB30" s="14">
        <f t="shared" si="0"/>
        <v>0.15769933730594649</v>
      </c>
      <c r="AC30" s="14">
        <f t="shared" si="0"/>
        <v>0.14601790491291342</v>
      </c>
      <c r="AD30" s="14">
        <f t="shared" si="0"/>
        <v>0.13520176380825316</v>
      </c>
      <c r="AE30" s="14">
        <f t="shared" si="0"/>
        <v>0.12518681834097514</v>
      </c>
      <c r="AF30" s="14">
        <f t="shared" si="0"/>
        <v>0.11591372068608809</v>
      </c>
      <c r="AG30" s="14">
        <f t="shared" si="0"/>
        <v>0.10732751915378526</v>
      </c>
      <c r="AH30" s="14">
        <f t="shared" si="0"/>
        <v>0.09937733254980116</v>
      </c>
      <c r="AI30" s="14">
        <f t="shared" si="0"/>
        <v>0.09201604865722329</v>
      </c>
      <c r="AJ30" s="14">
        <f t="shared" si="0"/>
        <v>0.08520004505298452</v>
      </c>
      <c r="AK30" s="14">
        <f t="shared" si="0"/>
        <v>0.0788889306046153</v>
      </c>
      <c r="AL30" s="14">
        <f aca="true" t="shared" si="1" ref="AL30:BB30">AK30/(1+$C30/100)</f>
        <v>0.07304530611538453</v>
      </c>
      <c r="AM30" s="14">
        <f t="shared" si="1"/>
        <v>0.06763454269943012</v>
      </c>
      <c r="AN30" s="14">
        <f t="shared" si="1"/>
        <v>0.0626245765735464</v>
      </c>
      <c r="AO30" s="14">
        <f t="shared" si="1"/>
        <v>0.057985719049580005</v>
      </c>
      <c r="AP30" s="14">
        <f t="shared" si="1"/>
        <v>0.05369048060146296</v>
      </c>
      <c r="AQ30" s="14">
        <f t="shared" si="1"/>
        <v>0.04971340796431755</v>
      </c>
      <c r="AR30" s="14">
        <f t="shared" si="1"/>
        <v>0.04603093330029402</v>
      </c>
      <c r="AS30" s="14">
        <f t="shared" si="1"/>
        <v>0.042621234537309274</v>
      </c>
      <c r="AT30" s="14">
        <f t="shared" si="1"/>
        <v>0.03946410605306414</v>
      </c>
      <c r="AU30" s="14">
        <f t="shared" si="1"/>
        <v>0.03654083893802235</v>
      </c>
      <c r="AV30" s="14">
        <f t="shared" si="1"/>
        <v>0.033834110127798474</v>
      </c>
      <c r="AW30" s="14">
        <f t="shared" si="1"/>
        <v>0.03132787974796155</v>
      </c>
      <c r="AX30" s="14">
        <f t="shared" si="1"/>
        <v>0.02900729606292736</v>
      </c>
      <c r="AY30" s="14">
        <f t="shared" si="1"/>
        <v>0.02685860746567348</v>
      </c>
      <c r="AZ30" s="14">
        <f t="shared" si="1"/>
        <v>0.0248690809867347</v>
      </c>
      <c r="BA30" s="14">
        <f t="shared" si="1"/>
        <v>0.023026926839569164</v>
      </c>
      <c r="BB30" s="14">
        <f t="shared" si="1"/>
        <v>0.02132122855515663</v>
      </c>
    </row>
    <row r="31" ht="15" thickBot="1">
      <c r="D31" s="28" t="s">
        <v>5</v>
      </c>
    </row>
    <row r="32" spans="1:54" ht="15.75" thickBot="1">
      <c r="A32" s="19" t="s">
        <v>21</v>
      </c>
      <c r="B32" s="17" t="s">
        <v>17</v>
      </c>
      <c r="C32" s="15">
        <f>C33+C49</f>
        <v>108638.57836332633</v>
      </c>
      <c r="D32" s="28">
        <v>0</v>
      </c>
      <c r="E32" s="28">
        <f aca="true" t="shared" si="2" ref="E32:AJ32">IF(D32&lt;$C29,D32+1,"")</f>
        <v>1</v>
      </c>
      <c r="F32" s="28">
        <f t="shared" si="2"/>
        <v>2</v>
      </c>
      <c r="G32" s="28">
        <f t="shared" si="2"/>
        <v>3</v>
      </c>
      <c r="H32" s="28">
        <f t="shared" si="2"/>
        <v>4</v>
      </c>
      <c r="I32" s="28">
        <f t="shared" si="2"/>
        <v>5</v>
      </c>
      <c r="J32" s="28">
        <f t="shared" si="2"/>
        <v>6</v>
      </c>
      <c r="K32" s="28">
        <f t="shared" si="2"/>
        <v>7</v>
      </c>
      <c r="L32" s="28">
        <f t="shared" si="2"/>
        <v>8</v>
      </c>
      <c r="M32" s="28">
        <f t="shared" si="2"/>
        <v>9</v>
      </c>
      <c r="N32" s="28">
        <f t="shared" si="2"/>
        <v>10</v>
      </c>
      <c r="O32" s="28">
        <f t="shared" si="2"/>
      </c>
      <c r="P32" s="28">
        <f t="shared" si="2"/>
      </c>
      <c r="Q32" s="28">
        <f t="shared" si="2"/>
      </c>
      <c r="R32" s="28">
        <f t="shared" si="2"/>
      </c>
      <c r="S32" s="28">
        <f t="shared" si="2"/>
      </c>
      <c r="T32" s="28">
        <f t="shared" si="2"/>
      </c>
      <c r="U32" s="28">
        <f t="shared" si="2"/>
      </c>
      <c r="V32" s="28">
        <f t="shared" si="2"/>
      </c>
      <c r="W32" s="28">
        <f t="shared" si="2"/>
      </c>
      <c r="X32" s="28">
        <f t="shared" si="2"/>
      </c>
      <c r="Y32" s="28">
        <f t="shared" si="2"/>
      </c>
      <c r="Z32" s="28">
        <f t="shared" si="2"/>
      </c>
      <c r="AA32" s="28">
        <f t="shared" si="2"/>
      </c>
      <c r="AB32" s="28">
        <f t="shared" si="2"/>
      </c>
      <c r="AC32" s="28">
        <f t="shared" si="2"/>
      </c>
      <c r="AD32" s="28">
        <f t="shared" si="2"/>
      </c>
      <c r="AE32" s="28">
        <f t="shared" si="2"/>
      </c>
      <c r="AF32" s="28">
        <f t="shared" si="2"/>
      </c>
      <c r="AG32" s="28">
        <f t="shared" si="2"/>
      </c>
      <c r="AH32" s="28">
        <f t="shared" si="2"/>
      </c>
      <c r="AI32" s="28">
        <f t="shared" si="2"/>
      </c>
      <c r="AJ32" s="28">
        <f t="shared" si="2"/>
      </c>
      <c r="AK32" s="28">
        <f aca="true" t="shared" si="3" ref="AK32:BB32">IF(AJ32&lt;$C29,AJ32+1,"")</f>
      </c>
      <c r="AL32" s="28">
        <f t="shared" si="3"/>
      </c>
      <c r="AM32" s="28">
        <f t="shared" si="3"/>
      </c>
      <c r="AN32" s="28">
        <f t="shared" si="3"/>
      </c>
      <c r="AO32" s="28">
        <f t="shared" si="3"/>
      </c>
      <c r="AP32" s="28">
        <f t="shared" si="3"/>
      </c>
      <c r="AQ32" s="28">
        <f t="shared" si="3"/>
      </c>
      <c r="AR32" s="28">
        <f t="shared" si="3"/>
      </c>
      <c r="AS32" s="28">
        <f t="shared" si="3"/>
      </c>
      <c r="AT32" s="28">
        <f t="shared" si="3"/>
      </c>
      <c r="AU32" s="28">
        <f t="shared" si="3"/>
      </c>
      <c r="AV32" s="28">
        <f t="shared" si="3"/>
      </c>
      <c r="AW32" s="28">
        <f t="shared" si="3"/>
      </c>
      <c r="AX32" s="28">
        <f t="shared" si="3"/>
      </c>
      <c r="AY32" s="28">
        <f t="shared" si="3"/>
      </c>
      <c r="AZ32" s="28">
        <f t="shared" si="3"/>
      </c>
      <c r="BA32" s="28">
        <f t="shared" si="3"/>
      </c>
      <c r="BB32" s="28">
        <f t="shared" si="3"/>
      </c>
    </row>
    <row r="33" spans="1:54" ht="19.5" thickBot="1">
      <c r="A33" s="25" t="s">
        <v>9</v>
      </c>
      <c r="B33" s="20" t="s">
        <v>17</v>
      </c>
      <c r="C33" s="15">
        <f>SUM(D33:BB33)</f>
        <v>35003.33615675685</v>
      </c>
      <c r="D33" s="26">
        <f aca="true" t="shared" si="4" ref="D33:AI33">D34*D30</f>
        <v>35003.33615675685</v>
      </c>
      <c r="E33" s="26">
        <f t="shared" si="4"/>
        <v>0</v>
      </c>
      <c r="F33" s="26">
        <f t="shared" si="4"/>
        <v>0</v>
      </c>
      <c r="G33" s="26">
        <f t="shared" si="4"/>
        <v>0</v>
      </c>
      <c r="H33" s="26">
        <f t="shared" si="4"/>
        <v>0</v>
      </c>
      <c r="I33" s="26">
        <f t="shared" si="4"/>
        <v>0</v>
      </c>
      <c r="J33" s="26">
        <f t="shared" si="4"/>
        <v>0</v>
      </c>
      <c r="K33" s="26">
        <f t="shared" si="4"/>
        <v>0</v>
      </c>
      <c r="L33" s="26">
        <f t="shared" si="4"/>
        <v>0</v>
      </c>
      <c r="M33" s="26">
        <f t="shared" si="4"/>
        <v>0</v>
      </c>
      <c r="N33" s="26">
        <f t="shared" si="4"/>
        <v>0</v>
      </c>
      <c r="O33" s="26">
        <f t="shared" si="4"/>
        <v>0</v>
      </c>
      <c r="P33" s="26">
        <f t="shared" si="4"/>
        <v>0</v>
      </c>
      <c r="Q33" s="26">
        <f t="shared" si="4"/>
        <v>0</v>
      </c>
      <c r="R33" s="26">
        <f t="shared" si="4"/>
        <v>0</v>
      </c>
      <c r="S33" s="26">
        <f t="shared" si="4"/>
        <v>0</v>
      </c>
      <c r="T33" s="26">
        <f t="shared" si="4"/>
        <v>0</v>
      </c>
      <c r="U33" s="26">
        <f t="shared" si="4"/>
        <v>0</v>
      </c>
      <c r="V33" s="26">
        <f t="shared" si="4"/>
        <v>0</v>
      </c>
      <c r="W33" s="26">
        <f t="shared" si="4"/>
        <v>0</v>
      </c>
      <c r="X33" s="26">
        <f t="shared" si="4"/>
        <v>0</v>
      </c>
      <c r="Y33" s="26">
        <f t="shared" si="4"/>
        <v>0</v>
      </c>
      <c r="Z33" s="26">
        <f t="shared" si="4"/>
        <v>0</v>
      </c>
      <c r="AA33" s="26">
        <f t="shared" si="4"/>
        <v>0</v>
      </c>
      <c r="AB33" s="26">
        <f t="shared" si="4"/>
        <v>0</v>
      </c>
      <c r="AC33" s="26">
        <f t="shared" si="4"/>
        <v>0</v>
      </c>
      <c r="AD33" s="26">
        <f t="shared" si="4"/>
        <v>0</v>
      </c>
      <c r="AE33" s="26">
        <f t="shared" si="4"/>
        <v>0</v>
      </c>
      <c r="AF33" s="26">
        <f t="shared" si="4"/>
        <v>0</v>
      </c>
      <c r="AG33" s="26">
        <f t="shared" si="4"/>
        <v>0</v>
      </c>
      <c r="AH33" s="26">
        <f t="shared" si="4"/>
        <v>0</v>
      </c>
      <c r="AI33" s="26">
        <f t="shared" si="4"/>
        <v>0</v>
      </c>
      <c r="AJ33" s="26">
        <f aca="true" t="shared" si="5" ref="AJ33:BB33">AJ34*AJ30</f>
        <v>0</v>
      </c>
      <c r="AK33" s="26">
        <f t="shared" si="5"/>
        <v>0</v>
      </c>
      <c r="AL33" s="26">
        <f t="shared" si="5"/>
        <v>0</v>
      </c>
      <c r="AM33" s="26">
        <f t="shared" si="5"/>
        <v>0</v>
      </c>
      <c r="AN33" s="26">
        <f t="shared" si="5"/>
        <v>0</v>
      </c>
      <c r="AO33" s="26">
        <f t="shared" si="5"/>
        <v>0</v>
      </c>
      <c r="AP33" s="26">
        <f t="shared" si="5"/>
        <v>0</v>
      </c>
      <c r="AQ33" s="26">
        <f t="shared" si="5"/>
        <v>0</v>
      </c>
      <c r="AR33" s="26">
        <f t="shared" si="5"/>
        <v>0</v>
      </c>
      <c r="AS33" s="26">
        <f t="shared" si="5"/>
        <v>0</v>
      </c>
      <c r="AT33" s="26">
        <f t="shared" si="5"/>
        <v>0</v>
      </c>
      <c r="AU33" s="26">
        <f t="shared" si="5"/>
        <v>0</v>
      </c>
      <c r="AV33" s="26">
        <f t="shared" si="5"/>
        <v>0</v>
      </c>
      <c r="AW33" s="26">
        <f t="shared" si="5"/>
        <v>0</v>
      </c>
      <c r="AX33" s="26">
        <f t="shared" si="5"/>
        <v>0</v>
      </c>
      <c r="AY33" s="26">
        <f t="shared" si="5"/>
        <v>0</v>
      </c>
      <c r="AZ33" s="26">
        <f t="shared" si="5"/>
        <v>0</v>
      </c>
      <c r="BA33" s="26">
        <f t="shared" si="5"/>
        <v>0</v>
      </c>
      <c r="BB33" s="26">
        <f t="shared" si="5"/>
        <v>0</v>
      </c>
    </row>
    <row r="34" spans="1:54" ht="14.25" customHeight="1" thickBot="1">
      <c r="A34" s="29" t="s">
        <v>24</v>
      </c>
      <c r="B34" s="27" t="s">
        <v>17</v>
      </c>
      <c r="C34" s="15">
        <f>SUM(D34:BB34)</f>
        <v>35003.33615675685</v>
      </c>
      <c r="D34" s="50">
        <f>D36+D37+D42</f>
        <v>35003.33615675685</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 ht="12.75">
      <c r="A35" s="12" t="s">
        <v>10</v>
      </c>
      <c r="C35" s="8"/>
    </row>
    <row r="36" spans="1:4" ht="12.75">
      <c r="A36" s="42" t="s">
        <v>72</v>
      </c>
      <c r="B36" s="43" t="s">
        <v>30</v>
      </c>
      <c r="C36" s="44">
        <f>E9</f>
        <v>30</v>
      </c>
      <c r="D36" s="57">
        <f>C36*1000*0.2</f>
        <v>6000</v>
      </c>
    </row>
    <row r="37" spans="1:4" ht="12.75">
      <c r="A37" s="42" t="s">
        <v>29</v>
      </c>
      <c r="B37" s="43" t="s">
        <v>30</v>
      </c>
      <c r="C37" s="44">
        <f>E10</f>
        <v>100</v>
      </c>
      <c r="D37" s="57">
        <f>C37*1000*0.2</f>
        <v>20000</v>
      </c>
    </row>
    <row r="38" ht="12.75">
      <c r="C38" s="8"/>
    </row>
    <row r="39" ht="12.75">
      <c r="A39" s="12" t="s">
        <v>11</v>
      </c>
    </row>
    <row r="40" spans="1:3" ht="12.75">
      <c r="A40" s="45" t="s">
        <v>19</v>
      </c>
      <c r="B40" s="46" t="s">
        <v>6</v>
      </c>
      <c r="C40" s="45">
        <v>40</v>
      </c>
    </row>
    <row r="41" spans="1:3" ht="12.75">
      <c r="A41" s="45" t="s">
        <v>68</v>
      </c>
      <c r="B41" s="46" t="s">
        <v>30</v>
      </c>
      <c r="C41" s="45">
        <f>E19</f>
        <v>80</v>
      </c>
    </row>
    <row r="42" spans="1:4" ht="12.75">
      <c r="A42" s="45" t="s">
        <v>75</v>
      </c>
      <c r="B42" s="46" t="s">
        <v>30</v>
      </c>
      <c r="C42" s="48">
        <f>C41*C44</f>
        <v>45.01668078378427</v>
      </c>
      <c r="D42" s="58">
        <f>C42*1000*0.2</f>
        <v>9003.336156756854</v>
      </c>
    </row>
    <row r="43" spans="1:3" ht="12.75">
      <c r="A43" s="10" t="s">
        <v>20</v>
      </c>
      <c r="B43" s="7" t="s">
        <v>17</v>
      </c>
      <c r="C43" s="23"/>
    </row>
    <row r="44" spans="1:3" ht="14.25" customHeight="1">
      <c r="A44" s="22" t="s">
        <v>23</v>
      </c>
      <c r="B44" s="21"/>
      <c r="C44" s="16">
        <f>(1-POWER(1+C30/100,-C29))/(1-POWER(1+C30/100,-C40))</f>
        <v>0.5627085097973034</v>
      </c>
    </row>
    <row r="45" spans="1:3" ht="12.75">
      <c r="A45" s="9"/>
      <c r="B45" s="7"/>
      <c r="C45" s="11"/>
    </row>
    <row r="46" spans="1:3" ht="12.75">
      <c r="A46" s="13" t="s">
        <v>12</v>
      </c>
      <c r="C46" s="11"/>
    </row>
    <row r="47" spans="1:3" ht="12.75">
      <c r="A47" s="9"/>
      <c r="C47" s="11"/>
    </row>
    <row r="48" spans="4:54" ht="15" thickBot="1">
      <c r="D48" s="28" t="s">
        <v>5</v>
      </c>
      <c r="E48" s="28">
        <f aca="true" t="shared" si="6" ref="E48:AJ48">E32</f>
        <v>1</v>
      </c>
      <c r="F48" s="28">
        <f t="shared" si="6"/>
        <v>2</v>
      </c>
      <c r="G48" s="28">
        <f t="shared" si="6"/>
        <v>3</v>
      </c>
      <c r="H48" s="28">
        <f t="shared" si="6"/>
        <v>4</v>
      </c>
      <c r="I48" s="28">
        <f t="shared" si="6"/>
        <v>5</v>
      </c>
      <c r="J48" s="28">
        <f t="shared" si="6"/>
        <v>6</v>
      </c>
      <c r="K48" s="28">
        <f t="shared" si="6"/>
        <v>7</v>
      </c>
      <c r="L48" s="28">
        <f t="shared" si="6"/>
        <v>8</v>
      </c>
      <c r="M48" s="28">
        <f t="shared" si="6"/>
        <v>9</v>
      </c>
      <c r="N48" s="28">
        <f t="shared" si="6"/>
        <v>10</v>
      </c>
      <c r="O48" s="28">
        <f t="shared" si="6"/>
      </c>
      <c r="P48" s="28">
        <f t="shared" si="6"/>
      </c>
      <c r="Q48" s="28">
        <f t="shared" si="6"/>
      </c>
      <c r="R48" s="28">
        <f t="shared" si="6"/>
      </c>
      <c r="S48" s="28">
        <f t="shared" si="6"/>
      </c>
      <c r="T48" s="28">
        <f t="shared" si="6"/>
      </c>
      <c r="U48" s="28">
        <f t="shared" si="6"/>
      </c>
      <c r="V48" s="28">
        <f t="shared" si="6"/>
      </c>
      <c r="W48" s="28">
        <f t="shared" si="6"/>
      </c>
      <c r="X48" s="28">
        <f t="shared" si="6"/>
      </c>
      <c r="Y48" s="28">
        <f t="shared" si="6"/>
      </c>
      <c r="Z48" s="28">
        <f t="shared" si="6"/>
      </c>
      <c r="AA48" s="28">
        <f t="shared" si="6"/>
      </c>
      <c r="AB48" s="28">
        <f t="shared" si="6"/>
      </c>
      <c r="AC48" s="28">
        <f t="shared" si="6"/>
      </c>
      <c r="AD48" s="28">
        <f t="shared" si="6"/>
      </c>
      <c r="AE48" s="28">
        <f t="shared" si="6"/>
      </c>
      <c r="AF48" s="28">
        <f t="shared" si="6"/>
      </c>
      <c r="AG48" s="28">
        <f t="shared" si="6"/>
      </c>
      <c r="AH48" s="28">
        <f t="shared" si="6"/>
      </c>
      <c r="AI48" s="28">
        <f t="shared" si="6"/>
      </c>
      <c r="AJ48" s="28">
        <f t="shared" si="6"/>
      </c>
      <c r="AK48" s="28">
        <f aca="true" t="shared" si="7" ref="AK48:BB48">AK32</f>
      </c>
      <c r="AL48" s="28">
        <f t="shared" si="7"/>
      </c>
      <c r="AM48" s="28">
        <f t="shared" si="7"/>
      </c>
      <c r="AN48" s="28">
        <f t="shared" si="7"/>
      </c>
      <c r="AO48" s="28">
        <f t="shared" si="7"/>
      </c>
      <c r="AP48" s="28">
        <f t="shared" si="7"/>
      </c>
      <c r="AQ48" s="28">
        <f t="shared" si="7"/>
      </c>
      <c r="AR48" s="28">
        <f t="shared" si="7"/>
      </c>
      <c r="AS48" s="28">
        <f t="shared" si="7"/>
      </c>
      <c r="AT48" s="28">
        <f t="shared" si="7"/>
      </c>
      <c r="AU48" s="28">
        <f t="shared" si="7"/>
      </c>
      <c r="AV48" s="28">
        <f t="shared" si="7"/>
      </c>
      <c r="AW48" s="28">
        <f t="shared" si="7"/>
      </c>
      <c r="AX48" s="28">
        <f t="shared" si="7"/>
      </c>
      <c r="AY48" s="28">
        <f t="shared" si="7"/>
      </c>
      <c r="AZ48" s="28">
        <f t="shared" si="7"/>
      </c>
      <c r="BA48" s="28">
        <f t="shared" si="7"/>
      </c>
      <c r="BB48" s="28">
        <f t="shared" si="7"/>
      </c>
    </row>
    <row r="49" spans="1:54" ht="19.5" thickBot="1">
      <c r="A49" s="25" t="s">
        <v>15</v>
      </c>
      <c r="B49" s="21" t="s">
        <v>17</v>
      </c>
      <c r="C49" s="15">
        <f>SUM(E49:BB49)</f>
        <v>73635.24220656948</v>
      </c>
      <c r="D49" s="1"/>
      <c r="E49" s="26">
        <f aca="true" t="shared" si="8" ref="E49:AJ49">E50*E30</f>
        <v>10160.946755676261</v>
      </c>
      <c r="F49" s="26">
        <f t="shared" si="8"/>
        <v>9408.284033033575</v>
      </c>
      <c r="G49" s="26">
        <f t="shared" si="8"/>
        <v>8711.374104660717</v>
      </c>
      <c r="H49" s="26">
        <f t="shared" si="8"/>
        <v>8066.087133945108</v>
      </c>
      <c r="I49" s="26">
        <f t="shared" si="8"/>
        <v>7468.599198097322</v>
      </c>
      <c r="J49" s="26">
        <f t="shared" si="8"/>
        <v>6915.36962786789</v>
      </c>
      <c r="K49" s="26">
        <f t="shared" si="8"/>
        <v>6403.1200258036015</v>
      </c>
      <c r="L49" s="26">
        <f t="shared" si="8"/>
        <v>5928.814838707038</v>
      </c>
      <c r="M49" s="26">
        <f t="shared" si="8"/>
        <v>5489.643369173182</v>
      </c>
      <c r="N49" s="26">
        <f t="shared" si="8"/>
        <v>5083.003119604798</v>
      </c>
      <c r="O49" s="26">
        <f t="shared" si="8"/>
        <v>0</v>
      </c>
      <c r="P49" s="26">
        <f t="shared" si="8"/>
        <v>0</v>
      </c>
      <c r="Q49" s="26">
        <f t="shared" si="8"/>
        <v>0</v>
      </c>
      <c r="R49" s="26">
        <f t="shared" si="8"/>
        <v>0</v>
      </c>
      <c r="S49" s="26">
        <f t="shared" si="8"/>
        <v>0</v>
      </c>
      <c r="T49" s="26">
        <f t="shared" si="8"/>
        <v>0</v>
      </c>
      <c r="U49" s="26">
        <f t="shared" si="8"/>
        <v>0</v>
      </c>
      <c r="V49" s="26">
        <f t="shared" si="8"/>
        <v>0</v>
      </c>
      <c r="W49" s="26">
        <f t="shared" si="8"/>
        <v>0</v>
      </c>
      <c r="X49" s="26">
        <f t="shared" si="8"/>
        <v>0</v>
      </c>
      <c r="Y49" s="26">
        <f t="shared" si="8"/>
        <v>0</v>
      </c>
      <c r="Z49" s="26">
        <f t="shared" si="8"/>
        <v>0</v>
      </c>
      <c r="AA49" s="26">
        <f t="shared" si="8"/>
        <v>0</v>
      </c>
      <c r="AB49" s="26">
        <f t="shared" si="8"/>
        <v>0</v>
      </c>
      <c r="AC49" s="26">
        <f t="shared" si="8"/>
        <v>0</v>
      </c>
      <c r="AD49" s="26">
        <f t="shared" si="8"/>
        <v>0</v>
      </c>
      <c r="AE49" s="26">
        <f t="shared" si="8"/>
        <v>0</v>
      </c>
      <c r="AF49" s="26">
        <f t="shared" si="8"/>
        <v>0</v>
      </c>
      <c r="AG49" s="26">
        <f t="shared" si="8"/>
        <v>0</v>
      </c>
      <c r="AH49" s="26">
        <f t="shared" si="8"/>
        <v>0</v>
      </c>
      <c r="AI49" s="26">
        <f t="shared" si="8"/>
        <v>0</v>
      </c>
      <c r="AJ49" s="26">
        <f t="shared" si="8"/>
        <v>0</v>
      </c>
      <c r="AK49" s="26">
        <f aca="true" t="shared" si="9" ref="AK49:BB49">AK50*AK30</f>
        <v>0</v>
      </c>
      <c r="AL49" s="26">
        <f t="shared" si="9"/>
        <v>0</v>
      </c>
      <c r="AM49" s="26">
        <f t="shared" si="9"/>
        <v>0</v>
      </c>
      <c r="AN49" s="26">
        <f t="shared" si="9"/>
        <v>0</v>
      </c>
      <c r="AO49" s="26">
        <f t="shared" si="9"/>
        <v>0</v>
      </c>
      <c r="AP49" s="26">
        <f t="shared" si="9"/>
        <v>0</v>
      </c>
      <c r="AQ49" s="26">
        <f t="shared" si="9"/>
        <v>0</v>
      </c>
      <c r="AR49" s="26">
        <f t="shared" si="9"/>
        <v>0</v>
      </c>
      <c r="AS49" s="26">
        <f t="shared" si="9"/>
        <v>0</v>
      </c>
      <c r="AT49" s="26">
        <f t="shared" si="9"/>
        <v>0</v>
      </c>
      <c r="AU49" s="26">
        <f t="shared" si="9"/>
        <v>0</v>
      </c>
      <c r="AV49" s="26">
        <f t="shared" si="9"/>
        <v>0</v>
      </c>
      <c r="AW49" s="26">
        <f t="shared" si="9"/>
        <v>0</v>
      </c>
      <c r="AX49" s="26">
        <f t="shared" si="9"/>
        <v>0</v>
      </c>
      <c r="AY49" s="26">
        <f t="shared" si="9"/>
        <v>0</v>
      </c>
      <c r="AZ49" s="26">
        <f t="shared" si="9"/>
        <v>0</v>
      </c>
      <c r="BA49" s="26">
        <f t="shared" si="9"/>
        <v>0</v>
      </c>
      <c r="BB49" s="26">
        <f t="shared" si="9"/>
        <v>0</v>
      </c>
    </row>
    <row r="50" spans="1:54" ht="15.75" thickBot="1">
      <c r="A50" s="29" t="s">
        <v>25</v>
      </c>
      <c r="B50" s="7" t="s">
        <v>17</v>
      </c>
      <c r="C50" s="15">
        <f>SUM(E50:BB50)</f>
        <v>109738.22496130364</v>
      </c>
      <c r="E50" s="30">
        <f aca="true" t="shared" si="10" ref="E50:X50">E55+E59+E62-E68</f>
        <v>10973.822496130364</v>
      </c>
      <c r="F50" s="30">
        <f t="shared" si="10"/>
        <v>10973.822496130364</v>
      </c>
      <c r="G50" s="30">
        <f t="shared" si="10"/>
        <v>10973.822496130364</v>
      </c>
      <c r="H50" s="30">
        <f t="shared" si="10"/>
        <v>10973.822496130364</v>
      </c>
      <c r="I50" s="30">
        <f t="shared" si="10"/>
        <v>10973.822496130364</v>
      </c>
      <c r="J50" s="30">
        <f t="shared" si="10"/>
        <v>10973.822496130364</v>
      </c>
      <c r="K50" s="30">
        <f t="shared" si="10"/>
        <v>10973.822496130364</v>
      </c>
      <c r="L50" s="30">
        <f t="shared" si="10"/>
        <v>10973.822496130364</v>
      </c>
      <c r="M50" s="30">
        <f t="shared" si="10"/>
        <v>10973.822496130364</v>
      </c>
      <c r="N50" s="30">
        <f t="shared" si="10"/>
        <v>10973.822496130364</v>
      </c>
      <c r="O50" s="30">
        <f t="shared" si="10"/>
        <v>0</v>
      </c>
      <c r="P50" s="30">
        <f t="shared" si="10"/>
        <v>0</v>
      </c>
      <c r="Q50" s="30">
        <f t="shared" si="10"/>
        <v>0</v>
      </c>
      <c r="R50" s="30">
        <f t="shared" si="10"/>
        <v>0</v>
      </c>
      <c r="S50" s="30">
        <f t="shared" si="10"/>
        <v>0</v>
      </c>
      <c r="T50" s="30">
        <f t="shared" si="10"/>
        <v>0</v>
      </c>
      <c r="U50" s="30">
        <f t="shared" si="10"/>
        <v>0</v>
      </c>
      <c r="V50" s="30">
        <f t="shared" si="10"/>
        <v>0</v>
      </c>
      <c r="W50" s="30">
        <f t="shared" si="10"/>
        <v>0</v>
      </c>
      <c r="X50" s="30">
        <f t="shared" si="10"/>
        <v>0</v>
      </c>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ht="12.75">
      <c r="A51" s="12" t="s">
        <v>13</v>
      </c>
    </row>
    <row r="52" spans="1:3" ht="12.75">
      <c r="A52" s="42" t="s">
        <v>46</v>
      </c>
      <c r="B52" s="46" t="s">
        <v>48</v>
      </c>
      <c r="C52" s="45">
        <f>E8*E17*24/1000</f>
        <v>624.96</v>
      </c>
    </row>
    <row r="53" spans="1:3" ht="12.75">
      <c r="A53" s="42" t="s">
        <v>47</v>
      </c>
      <c r="B53" s="46" t="s">
        <v>48</v>
      </c>
      <c r="C53" s="45">
        <f>E8/2*E18*24/1000</f>
        <v>300.72</v>
      </c>
    </row>
    <row r="54" spans="1:3" ht="12.75">
      <c r="A54" s="42" t="s">
        <v>51</v>
      </c>
      <c r="B54" s="46" t="s">
        <v>53</v>
      </c>
      <c r="C54" s="47">
        <f>(C52/(E14/100)+C53/(E15/100))*859845/E12/1000</f>
        <v>489.6991185324554</v>
      </c>
    </row>
    <row r="55" spans="1:14" ht="12.75">
      <c r="A55" s="42" t="s">
        <v>54</v>
      </c>
      <c r="B55" s="46" t="s">
        <v>55</v>
      </c>
      <c r="C55" s="47">
        <f>C54*E11</f>
        <v>122.42477963311384</v>
      </c>
      <c r="E55">
        <f>C55*1000</f>
        <v>122424.77963311384</v>
      </c>
      <c r="F55">
        <f aca="true" t="shared" si="11" ref="F55:N55">E55</f>
        <v>122424.77963311384</v>
      </c>
      <c r="G55">
        <f t="shared" si="11"/>
        <v>122424.77963311384</v>
      </c>
      <c r="H55">
        <f t="shared" si="11"/>
        <v>122424.77963311384</v>
      </c>
      <c r="I55">
        <f t="shared" si="11"/>
        <v>122424.77963311384</v>
      </c>
      <c r="J55">
        <f t="shared" si="11"/>
        <v>122424.77963311384</v>
      </c>
      <c r="K55">
        <f t="shared" si="11"/>
        <v>122424.77963311384</v>
      </c>
      <c r="L55">
        <f t="shared" si="11"/>
        <v>122424.77963311384</v>
      </c>
      <c r="M55">
        <f t="shared" si="11"/>
        <v>122424.77963311384</v>
      </c>
      <c r="N55">
        <f t="shared" si="11"/>
        <v>122424.77963311384</v>
      </c>
    </row>
    <row r="56" ht="12.75">
      <c r="A56" s="12"/>
    </row>
    <row r="57" ht="12.75">
      <c r="A57" s="12" t="s">
        <v>14</v>
      </c>
    </row>
    <row r="58" spans="1:3" ht="12.75">
      <c r="A58" s="42" t="s">
        <v>58</v>
      </c>
      <c r="B58" s="46" t="s">
        <v>59</v>
      </c>
      <c r="C58" s="45">
        <f>E22*365*24</f>
        <v>17520</v>
      </c>
    </row>
    <row r="59" spans="1:14" ht="12.75">
      <c r="A59" s="42" t="s">
        <v>60</v>
      </c>
      <c r="B59" s="46" t="s">
        <v>61</v>
      </c>
      <c r="C59" s="45">
        <f>C58*E23/100</f>
        <v>6377.28</v>
      </c>
      <c r="E59">
        <f>C59</f>
        <v>6377.28</v>
      </c>
      <c r="F59">
        <f aca="true" t="shared" si="12" ref="F59:N59">E59</f>
        <v>6377.28</v>
      </c>
      <c r="G59">
        <f t="shared" si="12"/>
        <v>6377.28</v>
      </c>
      <c r="H59">
        <f t="shared" si="12"/>
        <v>6377.28</v>
      </c>
      <c r="I59">
        <f t="shared" si="12"/>
        <v>6377.28</v>
      </c>
      <c r="J59">
        <f t="shared" si="12"/>
        <v>6377.28</v>
      </c>
      <c r="K59">
        <f t="shared" si="12"/>
        <v>6377.28</v>
      </c>
      <c r="L59">
        <f t="shared" si="12"/>
        <v>6377.28</v>
      </c>
      <c r="M59">
        <f t="shared" si="12"/>
        <v>6377.28</v>
      </c>
      <c r="N59">
        <f t="shared" si="12"/>
        <v>6377.28</v>
      </c>
    </row>
    <row r="60" ht="12.75">
      <c r="B60" s="7"/>
    </row>
    <row r="61" spans="1:2" ht="12.75">
      <c r="A61" s="12" t="s">
        <v>18</v>
      </c>
      <c r="B61" s="7"/>
    </row>
    <row r="62" spans="1:14" ht="12.75">
      <c r="A62" s="42" t="s">
        <v>62</v>
      </c>
      <c r="B62" s="46" t="s">
        <v>61</v>
      </c>
      <c r="C62" s="45">
        <f>E24*1.34*12</f>
        <v>28944</v>
      </c>
      <c r="E62">
        <f>C62</f>
        <v>28944</v>
      </c>
      <c r="F62">
        <f aca="true" t="shared" si="13" ref="F62:N62">E62</f>
        <v>28944</v>
      </c>
      <c r="G62">
        <f t="shared" si="13"/>
        <v>28944</v>
      </c>
      <c r="H62">
        <f t="shared" si="13"/>
        <v>28944</v>
      </c>
      <c r="I62">
        <f t="shared" si="13"/>
        <v>28944</v>
      </c>
      <c r="J62">
        <f t="shared" si="13"/>
        <v>28944</v>
      </c>
      <c r="K62">
        <f t="shared" si="13"/>
        <v>28944</v>
      </c>
      <c r="L62">
        <f t="shared" si="13"/>
        <v>28944</v>
      </c>
      <c r="M62">
        <f t="shared" si="13"/>
        <v>28944</v>
      </c>
      <c r="N62">
        <f t="shared" si="13"/>
        <v>28944</v>
      </c>
    </row>
    <row r="63" ht="12.75">
      <c r="B63" s="7"/>
    </row>
    <row r="64" spans="1:2" ht="12.75">
      <c r="A64" s="12" t="s">
        <v>16</v>
      </c>
      <c r="B64" s="7"/>
    </row>
    <row r="65" spans="1:2" ht="12.75">
      <c r="A65" s="5"/>
      <c r="B65" s="7"/>
    </row>
    <row r="66" spans="1:2" ht="12.75">
      <c r="A66" s="52" t="s">
        <v>65</v>
      </c>
      <c r="B66" s="7"/>
    </row>
    <row r="67" spans="1:3" ht="12.75">
      <c r="A67" s="42" t="s">
        <v>66</v>
      </c>
      <c r="B67" s="46" t="s">
        <v>53</v>
      </c>
      <c r="C67" s="48">
        <f>(C52+C53)/(E20/100)*859845/E21/1000</f>
        <v>82.2253429338843</v>
      </c>
    </row>
    <row r="68" spans="1:14" ht="12.75">
      <c r="A68" s="42" t="s">
        <v>67</v>
      </c>
      <c r="B68" s="46" t="s">
        <v>55</v>
      </c>
      <c r="C68" s="48">
        <f>C67*E16/1000</f>
        <v>146.77223713698348</v>
      </c>
      <c r="E68">
        <f>C68*1000</f>
        <v>146772.2371369835</v>
      </c>
      <c r="F68">
        <f aca="true" t="shared" si="14" ref="F68:N68">E68</f>
        <v>146772.2371369835</v>
      </c>
      <c r="G68">
        <f t="shared" si="14"/>
        <v>146772.2371369835</v>
      </c>
      <c r="H68">
        <f t="shared" si="14"/>
        <v>146772.2371369835</v>
      </c>
      <c r="I68">
        <f t="shared" si="14"/>
        <v>146772.2371369835</v>
      </c>
      <c r="J68">
        <f t="shared" si="14"/>
        <v>146772.2371369835</v>
      </c>
      <c r="K68">
        <f t="shared" si="14"/>
        <v>146772.2371369835</v>
      </c>
      <c r="L68">
        <f t="shared" si="14"/>
        <v>146772.2371369835</v>
      </c>
      <c r="M68">
        <f t="shared" si="14"/>
        <v>146772.2371369835</v>
      </c>
      <c r="N68">
        <f t="shared" si="14"/>
        <v>146772.2371369835</v>
      </c>
    </row>
    <row r="69" ht="12.75">
      <c r="A69" s="5"/>
    </row>
    <row r="70" ht="13.5" thickBot="1"/>
    <row r="71" spans="1:3" ht="15.75" thickBot="1">
      <c r="A71" s="19" t="s">
        <v>74</v>
      </c>
      <c r="B71" s="17" t="s">
        <v>7</v>
      </c>
      <c r="C71" s="15">
        <f>(C52+C53)*1000</f>
        <v>925680.0000000001</v>
      </c>
    </row>
    <row r="72" spans="1:3" ht="12.75">
      <c r="A72" s="6"/>
      <c r="B72" s="7"/>
      <c r="C72" s="2"/>
    </row>
    <row r="73" ht="13.5" thickBot="1"/>
    <row r="74" spans="1:3" ht="33" thickBot="1" thickTop="1">
      <c r="A74" s="54" t="s">
        <v>73</v>
      </c>
      <c r="B74" s="37" t="s">
        <v>8</v>
      </c>
      <c r="C74" s="64">
        <f>IF(C71&gt;0,C32*100/C71*C30/100/(1-POWER(1+C30/100,-C29)),"")</f>
        <v>1.7490225333013216</v>
      </c>
    </row>
    <row r="75" ht="13.5" thickTop="1"/>
  </sheetData>
  <sheetProtection/>
  <mergeCells count="23">
    <mergeCell ref="A26:C26"/>
    <mergeCell ref="A19:C19"/>
    <mergeCell ref="A21:C21"/>
    <mergeCell ref="A22:C22"/>
    <mergeCell ref="A23:C23"/>
    <mergeCell ref="A15:C15"/>
    <mergeCell ref="A20:C20"/>
    <mergeCell ref="A24:C24"/>
    <mergeCell ref="A25:C25"/>
    <mergeCell ref="A18:C18"/>
    <mergeCell ref="A9:C9"/>
    <mergeCell ref="A10:C10"/>
    <mergeCell ref="A11:C11"/>
    <mergeCell ref="A13:C13"/>
    <mergeCell ref="A16:C16"/>
    <mergeCell ref="A12:C12"/>
    <mergeCell ref="A14:C14"/>
    <mergeCell ref="A2:D2"/>
    <mergeCell ref="A1:D1"/>
    <mergeCell ref="A6:I6"/>
    <mergeCell ref="A7:C7"/>
    <mergeCell ref="A8:C8"/>
    <mergeCell ref="A17:C17"/>
  </mergeCells>
  <printOptions gridLines="1"/>
  <pageMargins left="1.26" right="0.37" top="0.68" bottom="0.63" header="0.5" footer="0.5"/>
  <pageSetup fitToHeight="1" fitToWidth="1" horizontalDpi="200" verticalDpi="200" orientation="portrait"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77"/>
  <sheetViews>
    <sheetView zoomScalePageLayoutView="0" workbookViewId="0" topLeftCell="A53">
      <selection activeCell="C77" sqref="C77"/>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28</v>
      </c>
      <c r="B2" s="66"/>
      <c r="C2" s="66"/>
      <c r="D2" s="66"/>
      <c r="E2" s="1"/>
    </row>
    <row r="3" spans="1:5" ht="24" customHeight="1">
      <c r="A3" s="55" t="s">
        <v>79</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69</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70</v>
      </c>
      <c r="B8" s="76"/>
      <c r="C8" s="77"/>
      <c r="D8" s="33" t="s">
        <v>31</v>
      </c>
      <c r="E8" s="51">
        <v>140</v>
      </c>
      <c r="F8" s="32"/>
      <c r="G8" s="32"/>
      <c r="H8" s="32"/>
      <c r="I8" s="32"/>
    </row>
    <row r="9" spans="1:9" ht="15" customHeight="1">
      <c r="A9" s="78" t="s">
        <v>32</v>
      </c>
      <c r="B9" s="79"/>
      <c r="C9" s="80"/>
      <c r="D9" s="33" t="s">
        <v>30</v>
      </c>
      <c r="E9" s="51">
        <v>30</v>
      </c>
      <c r="F9" s="32"/>
      <c r="G9" s="32"/>
      <c r="H9" s="32"/>
      <c r="I9" s="32"/>
    </row>
    <row r="10" spans="1:9" ht="15" customHeight="1">
      <c r="A10" s="78" t="s">
        <v>71</v>
      </c>
      <c r="B10" s="81"/>
      <c r="C10" s="80"/>
      <c r="D10" s="33" t="s">
        <v>30</v>
      </c>
      <c r="E10" s="53">
        <v>100</v>
      </c>
      <c r="F10" s="32"/>
      <c r="G10" s="32"/>
      <c r="H10" s="32"/>
      <c r="I10" s="32"/>
    </row>
    <row r="11" spans="1:9" ht="15" customHeight="1">
      <c r="A11" s="78" t="s">
        <v>33</v>
      </c>
      <c r="B11" s="79"/>
      <c r="C11" s="80"/>
      <c r="D11" s="33" t="s">
        <v>34</v>
      </c>
      <c r="E11" s="41">
        <v>0.25</v>
      </c>
      <c r="F11" s="32"/>
      <c r="G11" s="32"/>
      <c r="H11" s="32"/>
      <c r="I11" s="32"/>
    </row>
    <row r="12" spans="1:9" ht="15" customHeight="1">
      <c r="A12" s="78" t="s">
        <v>44</v>
      </c>
      <c r="B12" s="81"/>
      <c r="C12" s="80"/>
      <c r="D12" s="33" t="s">
        <v>43</v>
      </c>
      <c r="E12" s="41">
        <v>2126</v>
      </c>
      <c r="F12" s="32"/>
      <c r="G12" s="32"/>
      <c r="H12" s="32"/>
      <c r="I12" s="32"/>
    </row>
    <row r="13" spans="1:9" ht="15" customHeight="1">
      <c r="A13" s="78" t="s">
        <v>35</v>
      </c>
      <c r="B13" s="79"/>
      <c r="C13" s="80"/>
      <c r="D13" s="33" t="s">
        <v>36</v>
      </c>
      <c r="E13" s="51">
        <v>10</v>
      </c>
      <c r="F13" s="32"/>
      <c r="G13" s="32"/>
      <c r="H13" s="32"/>
      <c r="I13" s="32"/>
    </row>
    <row r="14" spans="1:9" ht="15" customHeight="1">
      <c r="A14" s="78" t="s">
        <v>49</v>
      </c>
      <c r="B14" s="81"/>
      <c r="C14" s="80"/>
      <c r="D14" s="33" t="s">
        <v>3</v>
      </c>
      <c r="E14" s="41">
        <v>80</v>
      </c>
      <c r="F14" s="32"/>
      <c r="G14" s="32"/>
      <c r="H14" s="32"/>
      <c r="I14" s="32"/>
    </row>
    <row r="15" spans="1:9" ht="15" customHeight="1">
      <c r="A15" s="78" t="s">
        <v>50</v>
      </c>
      <c r="B15" s="81"/>
      <c r="C15" s="80"/>
      <c r="D15" s="33" t="s">
        <v>3</v>
      </c>
      <c r="E15" s="41">
        <v>70</v>
      </c>
      <c r="F15" s="32"/>
      <c r="G15" s="32"/>
      <c r="H15" s="32"/>
      <c r="I15" s="32"/>
    </row>
    <row r="16" spans="1:9" ht="15" customHeight="1">
      <c r="A16" s="78" t="s">
        <v>37</v>
      </c>
      <c r="B16" s="79"/>
      <c r="C16" s="80"/>
      <c r="D16" s="33" t="s">
        <v>38</v>
      </c>
      <c r="E16" s="41">
        <v>1785</v>
      </c>
      <c r="F16" s="32"/>
      <c r="G16" s="32"/>
      <c r="H16" s="32"/>
      <c r="I16" s="32"/>
    </row>
    <row r="17" spans="1:9" ht="15" customHeight="1">
      <c r="A17" s="78" t="s">
        <v>39</v>
      </c>
      <c r="B17" s="79"/>
      <c r="C17" s="80"/>
      <c r="D17" s="33" t="s">
        <v>41</v>
      </c>
      <c r="E17" s="41">
        <v>186</v>
      </c>
      <c r="F17" s="32"/>
      <c r="G17" s="32"/>
      <c r="H17" s="32"/>
      <c r="I17" s="32"/>
    </row>
    <row r="18" spans="1:9" ht="15" customHeight="1">
      <c r="A18" s="78" t="s">
        <v>40</v>
      </c>
      <c r="B18" s="79"/>
      <c r="C18" s="80"/>
      <c r="D18" s="33" t="s">
        <v>41</v>
      </c>
      <c r="E18" s="41">
        <f>365-E17</f>
        <v>179</v>
      </c>
      <c r="F18" s="32"/>
      <c r="G18" s="32"/>
      <c r="H18" s="32"/>
      <c r="I18" s="32"/>
    </row>
    <row r="19" spans="1:9" ht="15" customHeight="1">
      <c r="A19" s="78" t="s">
        <v>42</v>
      </c>
      <c r="B19" s="79"/>
      <c r="C19" s="80"/>
      <c r="D19" s="33" t="s">
        <v>30</v>
      </c>
      <c r="E19" s="41">
        <v>80</v>
      </c>
      <c r="F19" s="32"/>
      <c r="G19" s="32"/>
      <c r="H19" s="32"/>
      <c r="I19" s="32"/>
    </row>
    <row r="20" spans="1:9" ht="15" customHeight="1">
      <c r="A20" s="78" t="s">
        <v>52</v>
      </c>
      <c r="B20" s="81"/>
      <c r="C20" s="80"/>
      <c r="D20" s="33" t="s">
        <v>3</v>
      </c>
      <c r="E20" s="41">
        <v>88</v>
      </c>
      <c r="F20" s="32"/>
      <c r="G20" s="32"/>
      <c r="H20" s="32"/>
      <c r="I20" s="32"/>
    </row>
    <row r="21" spans="1:9" ht="15" customHeight="1">
      <c r="A21" s="78" t="s">
        <v>45</v>
      </c>
      <c r="B21" s="79"/>
      <c r="C21" s="80"/>
      <c r="D21" s="33" t="s">
        <v>43</v>
      </c>
      <c r="E21" s="41">
        <v>11000</v>
      </c>
      <c r="F21" s="32"/>
      <c r="G21" s="32"/>
      <c r="H21" s="32"/>
      <c r="I21" s="32"/>
    </row>
    <row r="22" spans="1:9" ht="15" customHeight="1">
      <c r="A22" s="78" t="s">
        <v>56</v>
      </c>
      <c r="B22" s="79"/>
      <c r="C22" s="80"/>
      <c r="D22" s="33" t="s">
        <v>31</v>
      </c>
      <c r="E22" s="41">
        <v>2</v>
      </c>
      <c r="F22" s="32"/>
      <c r="G22" s="32"/>
      <c r="H22" s="32"/>
      <c r="I22" s="32"/>
    </row>
    <row r="23" spans="1:9" ht="15" customHeight="1">
      <c r="A23" s="78" t="s">
        <v>57</v>
      </c>
      <c r="B23" s="79"/>
      <c r="C23" s="80"/>
      <c r="D23" s="33" t="s">
        <v>8</v>
      </c>
      <c r="E23" s="41">
        <v>36.4</v>
      </c>
      <c r="F23" s="32"/>
      <c r="G23" s="32"/>
      <c r="H23" s="32"/>
      <c r="I23" s="32"/>
    </row>
    <row r="24" spans="1:9" ht="15" customHeight="1">
      <c r="A24" s="78" t="s">
        <v>63</v>
      </c>
      <c r="B24" s="79"/>
      <c r="C24" s="80"/>
      <c r="D24" s="33" t="s">
        <v>64</v>
      </c>
      <c r="E24" s="41">
        <v>1800</v>
      </c>
      <c r="F24" s="32"/>
      <c r="G24" s="32"/>
      <c r="H24" s="32"/>
      <c r="I24" s="32"/>
    </row>
    <row r="25" spans="1:9" ht="15" customHeight="1">
      <c r="A25" s="78"/>
      <c r="B25" s="79"/>
      <c r="C25" s="80"/>
      <c r="D25" s="32"/>
      <c r="E25" s="41"/>
      <c r="F25" s="32"/>
      <c r="G25" s="32"/>
      <c r="H25" s="32"/>
      <c r="I25" s="32"/>
    </row>
    <row r="26" spans="1:9" ht="15" customHeight="1" thickBot="1">
      <c r="A26" s="82"/>
      <c r="B26" s="83"/>
      <c r="C26" s="84"/>
      <c r="D26" s="32"/>
      <c r="E26" s="32"/>
      <c r="F26" s="32"/>
      <c r="G26" s="32"/>
      <c r="H26" s="32"/>
      <c r="I26" s="32"/>
    </row>
    <row r="27" spans="1:9" ht="15" customHeight="1" thickBot="1">
      <c r="A27" s="31"/>
      <c r="B27" s="36"/>
      <c r="C27" s="36"/>
      <c r="D27" s="32"/>
      <c r="E27" s="32"/>
      <c r="F27" s="32"/>
      <c r="G27" s="32"/>
      <c r="H27" s="32"/>
      <c r="I27" s="32"/>
    </row>
    <row r="28" spans="1:3" ht="14.25" thickBot="1" thickTop="1">
      <c r="A28" s="34" t="s">
        <v>0</v>
      </c>
      <c r="B28" s="3" t="s">
        <v>1</v>
      </c>
      <c r="C28" s="2"/>
    </row>
    <row r="29" spans="1:3" ht="25.5" customHeight="1" thickTop="1">
      <c r="A29" s="18" t="s">
        <v>22</v>
      </c>
      <c r="B29" s="38" t="s">
        <v>6</v>
      </c>
      <c r="C29" s="39">
        <f>E13</f>
        <v>10</v>
      </c>
    </row>
    <row r="30" spans="1:54" ht="15" thickBot="1">
      <c r="A30" s="16" t="s">
        <v>2</v>
      </c>
      <c r="B30" s="38" t="s">
        <v>3</v>
      </c>
      <c r="C30" s="40">
        <v>8</v>
      </c>
      <c r="D30" s="14">
        <v>1</v>
      </c>
      <c r="E30" s="14">
        <f>1/(1+C30/100)</f>
        <v>0.9259259259259258</v>
      </c>
      <c r="F30" s="14">
        <f aca="true" t="shared" si="0" ref="F30:AK30">E30/(1+$C30/100)</f>
        <v>0.8573388203017831</v>
      </c>
      <c r="G30" s="14">
        <f t="shared" si="0"/>
        <v>0.7938322410201695</v>
      </c>
      <c r="H30" s="14">
        <f t="shared" si="0"/>
        <v>0.7350298527964532</v>
      </c>
      <c r="I30" s="14">
        <f t="shared" si="0"/>
        <v>0.6805831970337529</v>
      </c>
      <c r="J30" s="14">
        <f t="shared" si="0"/>
        <v>0.6301696268831045</v>
      </c>
      <c r="K30" s="14">
        <f t="shared" si="0"/>
        <v>0.5834903952621338</v>
      </c>
      <c r="L30" s="14">
        <f t="shared" si="0"/>
        <v>0.5402688845019756</v>
      </c>
      <c r="M30" s="14">
        <f t="shared" si="0"/>
        <v>0.5002489671314588</v>
      </c>
      <c r="N30" s="14">
        <f t="shared" si="0"/>
        <v>0.4631934880846841</v>
      </c>
      <c r="O30" s="14">
        <f t="shared" si="0"/>
        <v>0.4288828593376704</v>
      </c>
      <c r="P30" s="14">
        <f t="shared" si="0"/>
        <v>0.3971137586459911</v>
      </c>
      <c r="Q30" s="14">
        <f t="shared" si="0"/>
        <v>0.36769792467221396</v>
      </c>
      <c r="R30" s="14">
        <f t="shared" si="0"/>
        <v>0.3404610413631611</v>
      </c>
      <c r="S30" s="14">
        <f t="shared" si="0"/>
        <v>0.3152417049658899</v>
      </c>
      <c r="T30" s="14">
        <f t="shared" si="0"/>
        <v>0.2918904675610091</v>
      </c>
      <c r="U30" s="14">
        <f t="shared" si="0"/>
        <v>0.27026895144537877</v>
      </c>
      <c r="V30" s="14">
        <f t="shared" si="0"/>
        <v>0.2502490291160914</v>
      </c>
      <c r="W30" s="14">
        <f t="shared" si="0"/>
        <v>0.23171206399638095</v>
      </c>
      <c r="X30" s="14">
        <f t="shared" si="0"/>
        <v>0.21454820740405642</v>
      </c>
      <c r="Y30" s="14">
        <f t="shared" si="0"/>
        <v>0.19865574759634852</v>
      </c>
      <c r="Z30" s="14">
        <f t="shared" si="0"/>
        <v>0.18394050703365603</v>
      </c>
      <c r="AA30" s="14">
        <f t="shared" si="0"/>
        <v>0.17031528429042223</v>
      </c>
      <c r="AB30" s="14">
        <f t="shared" si="0"/>
        <v>0.15769933730594649</v>
      </c>
      <c r="AC30" s="14">
        <f t="shared" si="0"/>
        <v>0.14601790491291342</v>
      </c>
      <c r="AD30" s="14">
        <f t="shared" si="0"/>
        <v>0.13520176380825316</v>
      </c>
      <c r="AE30" s="14">
        <f t="shared" si="0"/>
        <v>0.12518681834097514</v>
      </c>
      <c r="AF30" s="14">
        <f t="shared" si="0"/>
        <v>0.11591372068608809</v>
      </c>
      <c r="AG30" s="14">
        <f t="shared" si="0"/>
        <v>0.10732751915378526</v>
      </c>
      <c r="AH30" s="14">
        <f t="shared" si="0"/>
        <v>0.09937733254980116</v>
      </c>
      <c r="AI30" s="14">
        <f t="shared" si="0"/>
        <v>0.09201604865722329</v>
      </c>
      <c r="AJ30" s="14">
        <f t="shared" si="0"/>
        <v>0.08520004505298452</v>
      </c>
      <c r="AK30" s="14">
        <f t="shared" si="0"/>
        <v>0.0788889306046153</v>
      </c>
      <c r="AL30" s="14">
        <f aca="true" t="shared" si="1" ref="AL30:BB30">AK30/(1+$C30/100)</f>
        <v>0.07304530611538453</v>
      </c>
      <c r="AM30" s="14">
        <f t="shared" si="1"/>
        <v>0.06763454269943012</v>
      </c>
      <c r="AN30" s="14">
        <f t="shared" si="1"/>
        <v>0.0626245765735464</v>
      </c>
      <c r="AO30" s="14">
        <f t="shared" si="1"/>
        <v>0.057985719049580005</v>
      </c>
      <c r="AP30" s="14">
        <f t="shared" si="1"/>
        <v>0.05369048060146296</v>
      </c>
      <c r="AQ30" s="14">
        <f t="shared" si="1"/>
        <v>0.04971340796431755</v>
      </c>
      <c r="AR30" s="14">
        <f t="shared" si="1"/>
        <v>0.04603093330029402</v>
      </c>
      <c r="AS30" s="14">
        <f t="shared" si="1"/>
        <v>0.042621234537309274</v>
      </c>
      <c r="AT30" s="14">
        <f t="shared" si="1"/>
        <v>0.03946410605306414</v>
      </c>
      <c r="AU30" s="14">
        <f t="shared" si="1"/>
        <v>0.03654083893802235</v>
      </c>
      <c r="AV30" s="14">
        <f t="shared" si="1"/>
        <v>0.033834110127798474</v>
      </c>
      <c r="AW30" s="14">
        <f t="shared" si="1"/>
        <v>0.03132787974796155</v>
      </c>
      <c r="AX30" s="14">
        <f t="shared" si="1"/>
        <v>0.02900729606292736</v>
      </c>
      <c r="AY30" s="14">
        <f t="shared" si="1"/>
        <v>0.02685860746567348</v>
      </c>
      <c r="AZ30" s="14">
        <f t="shared" si="1"/>
        <v>0.0248690809867347</v>
      </c>
      <c r="BA30" s="14">
        <f t="shared" si="1"/>
        <v>0.023026926839569164</v>
      </c>
      <c r="BB30" s="14">
        <f t="shared" si="1"/>
        <v>0.02132122855515663</v>
      </c>
    </row>
    <row r="31" ht="15" thickBot="1">
      <c r="D31" s="28" t="s">
        <v>5</v>
      </c>
    </row>
    <row r="32" spans="1:54" ht="15.75" thickBot="1">
      <c r="A32" s="19" t="s">
        <v>21</v>
      </c>
      <c r="B32" s="17" t="s">
        <v>17</v>
      </c>
      <c r="C32" s="15">
        <f>C33+C52</f>
        <v>108988.27556656947</v>
      </c>
      <c r="D32" s="28">
        <v>0</v>
      </c>
      <c r="E32" s="28">
        <f aca="true" t="shared" si="2" ref="E32:AJ32">IF(D32&lt;$C29,D32+1,"")</f>
        <v>1</v>
      </c>
      <c r="F32" s="28">
        <f t="shared" si="2"/>
        <v>2</v>
      </c>
      <c r="G32" s="28">
        <f t="shared" si="2"/>
        <v>3</v>
      </c>
      <c r="H32" s="28">
        <f t="shared" si="2"/>
        <v>4</v>
      </c>
      <c r="I32" s="28">
        <f t="shared" si="2"/>
        <v>5</v>
      </c>
      <c r="J32" s="28">
        <f t="shared" si="2"/>
        <v>6</v>
      </c>
      <c r="K32" s="28">
        <f t="shared" si="2"/>
        <v>7</v>
      </c>
      <c r="L32" s="28">
        <f t="shared" si="2"/>
        <v>8</v>
      </c>
      <c r="M32" s="28">
        <f t="shared" si="2"/>
        <v>9</v>
      </c>
      <c r="N32" s="28">
        <f t="shared" si="2"/>
        <v>10</v>
      </c>
      <c r="O32" s="28">
        <f t="shared" si="2"/>
      </c>
      <c r="P32" s="28">
        <f t="shared" si="2"/>
      </c>
      <c r="Q32" s="28">
        <f t="shared" si="2"/>
      </c>
      <c r="R32" s="28">
        <f t="shared" si="2"/>
      </c>
      <c r="S32" s="28">
        <f t="shared" si="2"/>
      </c>
      <c r="T32" s="28">
        <f t="shared" si="2"/>
      </c>
      <c r="U32" s="28">
        <f t="shared" si="2"/>
      </c>
      <c r="V32" s="28">
        <f t="shared" si="2"/>
      </c>
      <c r="W32" s="28">
        <f t="shared" si="2"/>
      </c>
      <c r="X32" s="28">
        <f t="shared" si="2"/>
      </c>
      <c r="Y32" s="28">
        <f t="shared" si="2"/>
      </c>
      <c r="Z32" s="28">
        <f t="shared" si="2"/>
      </c>
      <c r="AA32" s="28">
        <f t="shared" si="2"/>
      </c>
      <c r="AB32" s="28">
        <f t="shared" si="2"/>
      </c>
      <c r="AC32" s="28">
        <f t="shared" si="2"/>
      </c>
      <c r="AD32" s="28">
        <f t="shared" si="2"/>
      </c>
      <c r="AE32" s="28">
        <f t="shared" si="2"/>
      </c>
      <c r="AF32" s="28">
        <f t="shared" si="2"/>
      </c>
      <c r="AG32" s="28">
        <f t="shared" si="2"/>
      </c>
      <c r="AH32" s="28">
        <f t="shared" si="2"/>
      </c>
      <c r="AI32" s="28">
        <f t="shared" si="2"/>
      </c>
      <c r="AJ32" s="28">
        <f t="shared" si="2"/>
      </c>
      <c r="AK32" s="28">
        <f aca="true" t="shared" si="3" ref="AK32:BB32">IF(AJ32&lt;$C29,AJ32+1,"")</f>
      </c>
      <c r="AL32" s="28">
        <f t="shared" si="3"/>
      </c>
      <c r="AM32" s="28">
        <f t="shared" si="3"/>
      </c>
      <c r="AN32" s="28">
        <f t="shared" si="3"/>
      </c>
      <c r="AO32" s="28">
        <f t="shared" si="3"/>
      </c>
      <c r="AP32" s="28">
        <f t="shared" si="3"/>
      </c>
      <c r="AQ32" s="28">
        <f t="shared" si="3"/>
      </c>
      <c r="AR32" s="28">
        <f t="shared" si="3"/>
      </c>
      <c r="AS32" s="28">
        <f t="shared" si="3"/>
      </c>
      <c r="AT32" s="28">
        <f t="shared" si="3"/>
      </c>
      <c r="AU32" s="28">
        <f t="shared" si="3"/>
      </c>
      <c r="AV32" s="28">
        <f t="shared" si="3"/>
      </c>
      <c r="AW32" s="28">
        <f t="shared" si="3"/>
      </c>
      <c r="AX32" s="28">
        <f t="shared" si="3"/>
      </c>
      <c r="AY32" s="28">
        <f t="shared" si="3"/>
      </c>
      <c r="AZ32" s="28">
        <f t="shared" si="3"/>
      </c>
      <c r="BA32" s="28">
        <f t="shared" si="3"/>
      </c>
      <c r="BB32" s="28">
        <f t="shared" si="3"/>
      </c>
    </row>
    <row r="33" spans="1:54" ht="19.5" thickBot="1">
      <c r="A33" s="25" t="s">
        <v>9</v>
      </c>
      <c r="B33" s="20" t="s">
        <v>17</v>
      </c>
      <c r="C33" s="15">
        <f>SUM(D33:BB33)</f>
        <v>35353.03335999999</v>
      </c>
      <c r="D33" s="26">
        <f aca="true" t="shared" si="4" ref="D33:AI33">D34*D30</f>
        <v>350.03336</v>
      </c>
      <c r="E33" s="26">
        <f t="shared" si="4"/>
        <v>8117.340073336091</v>
      </c>
      <c r="F33" s="26">
        <f t="shared" si="4"/>
        <v>7516.055623459343</v>
      </c>
      <c r="G33" s="26">
        <f t="shared" si="4"/>
        <v>6959.310762462354</v>
      </c>
      <c r="H33" s="26">
        <f t="shared" si="4"/>
        <v>6443.806261539216</v>
      </c>
      <c r="I33" s="26">
        <f t="shared" si="4"/>
        <v>5966.487279202978</v>
      </c>
      <c r="J33" s="26">
        <f t="shared" si="4"/>
        <v>0</v>
      </c>
      <c r="K33" s="26">
        <f t="shared" si="4"/>
        <v>0</v>
      </c>
      <c r="L33" s="26">
        <f t="shared" si="4"/>
        <v>0</v>
      </c>
      <c r="M33" s="26">
        <f t="shared" si="4"/>
        <v>0</v>
      </c>
      <c r="N33" s="26">
        <f t="shared" si="4"/>
        <v>0</v>
      </c>
      <c r="O33" s="26">
        <f t="shared" si="4"/>
        <v>0</v>
      </c>
      <c r="P33" s="26">
        <f t="shared" si="4"/>
        <v>0</v>
      </c>
      <c r="Q33" s="26">
        <f t="shared" si="4"/>
        <v>0</v>
      </c>
      <c r="R33" s="26">
        <f t="shared" si="4"/>
        <v>0</v>
      </c>
      <c r="S33" s="26">
        <f t="shared" si="4"/>
        <v>0</v>
      </c>
      <c r="T33" s="26">
        <f t="shared" si="4"/>
        <v>0</v>
      </c>
      <c r="U33" s="26">
        <f t="shared" si="4"/>
        <v>0</v>
      </c>
      <c r="V33" s="26">
        <f t="shared" si="4"/>
        <v>0</v>
      </c>
      <c r="W33" s="26">
        <f t="shared" si="4"/>
        <v>0</v>
      </c>
      <c r="X33" s="26">
        <f t="shared" si="4"/>
        <v>0</v>
      </c>
      <c r="Y33" s="26">
        <f t="shared" si="4"/>
        <v>0</v>
      </c>
      <c r="Z33" s="26">
        <f t="shared" si="4"/>
        <v>0</v>
      </c>
      <c r="AA33" s="26">
        <f t="shared" si="4"/>
        <v>0</v>
      </c>
      <c r="AB33" s="26">
        <f t="shared" si="4"/>
        <v>0</v>
      </c>
      <c r="AC33" s="26">
        <f t="shared" si="4"/>
        <v>0</v>
      </c>
      <c r="AD33" s="26">
        <f t="shared" si="4"/>
        <v>0</v>
      </c>
      <c r="AE33" s="26">
        <f t="shared" si="4"/>
        <v>0</v>
      </c>
      <c r="AF33" s="26">
        <f t="shared" si="4"/>
        <v>0</v>
      </c>
      <c r="AG33" s="26">
        <f t="shared" si="4"/>
        <v>0</v>
      </c>
      <c r="AH33" s="26">
        <f t="shared" si="4"/>
        <v>0</v>
      </c>
      <c r="AI33" s="26">
        <f t="shared" si="4"/>
        <v>0</v>
      </c>
      <c r="AJ33" s="26">
        <f aca="true" t="shared" si="5" ref="AJ33:BB33">AJ34*AJ30</f>
        <v>0</v>
      </c>
      <c r="AK33" s="26">
        <f t="shared" si="5"/>
        <v>0</v>
      </c>
      <c r="AL33" s="26">
        <f t="shared" si="5"/>
        <v>0</v>
      </c>
      <c r="AM33" s="26">
        <f t="shared" si="5"/>
        <v>0</v>
      </c>
      <c r="AN33" s="26">
        <f t="shared" si="5"/>
        <v>0</v>
      </c>
      <c r="AO33" s="26">
        <f t="shared" si="5"/>
        <v>0</v>
      </c>
      <c r="AP33" s="26">
        <f t="shared" si="5"/>
        <v>0</v>
      </c>
      <c r="AQ33" s="26">
        <f t="shared" si="5"/>
        <v>0</v>
      </c>
      <c r="AR33" s="26">
        <f t="shared" si="5"/>
        <v>0</v>
      </c>
      <c r="AS33" s="26">
        <f t="shared" si="5"/>
        <v>0</v>
      </c>
      <c r="AT33" s="26">
        <f t="shared" si="5"/>
        <v>0</v>
      </c>
      <c r="AU33" s="26">
        <f t="shared" si="5"/>
        <v>0</v>
      </c>
      <c r="AV33" s="26">
        <f t="shared" si="5"/>
        <v>0</v>
      </c>
      <c r="AW33" s="26">
        <f t="shared" si="5"/>
        <v>0</v>
      </c>
      <c r="AX33" s="26">
        <f t="shared" si="5"/>
        <v>0</v>
      </c>
      <c r="AY33" s="26">
        <f t="shared" si="5"/>
        <v>0</v>
      </c>
      <c r="AZ33" s="26">
        <f t="shared" si="5"/>
        <v>0</v>
      </c>
      <c r="BA33" s="26">
        <f t="shared" si="5"/>
        <v>0</v>
      </c>
      <c r="BB33" s="26">
        <f t="shared" si="5"/>
        <v>0</v>
      </c>
    </row>
    <row r="34" spans="1:54" ht="14.25" customHeight="1" thickBot="1">
      <c r="A34" s="29" t="s">
        <v>24</v>
      </c>
      <c r="B34" s="27" t="s">
        <v>17</v>
      </c>
      <c r="C34" s="15">
        <f>SUM(D34:BB34)</f>
        <v>44183.669756014904</v>
      </c>
      <c r="D34" s="50">
        <f aca="true" t="shared" si="6" ref="D34:I34">D36+D37+D42+D48+D49</f>
        <v>350.03336</v>
      </c>
      <c r="E34" s="50">
        <f t="shared" si="6"/>
        <v>8766.72727920298</v>
      </c>
      <c r="F34" s="50">
        <f t="shared" si="6"/>
        <v>8766.72727920298</v>
      </c>
      <c r="G34" s="50">
        <f t="shared" si="6"/>
        <v>8766.72727920298</v>
      </c>
      <c r="H34" s="50">
        <f t="shared" si="6"/>
        <v>8766.72727920298</v>
      </c>
      <c r="I34" s="50">
        <f t="shared" si="6"/>
        <v>8766.72727920298</v>
      </c>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 ht="12.75">
      <c r="A35" s="12" t="s">
        <v>10</v>
      </c>
      <c r="C35" s="8"/>
    </row>
    <row r="36" spans="1:3" ht="12.75">
      <c r="A36" s="42" t="s">
        <v>72</v>
      </c>
      <c r="B36" s="43" t="s">
        <v>30</v>
      </c>
      <c r="C36" s="44">
        <f>E9</f>
        <v>30</v>
      </c>
    </row>
    <row r="37" spans="1:3" ht="12.75">
      <c r="A37" s="42" t="s">
        <v>29</v>
      </c>
      <c r="B37" s="43" t="s">
        <v>30</v>
      </c>
      <c r="C37" s="44">
        <f>E10</f>
        <v>100</v>
      </c>
    </row>
    <row r="38" ht="12.75">
      <c r="C38" s="8"/>
    </row>
    <row r="39" ht="12.75">
      <c r="A39" s="12" t="s">
        <v>11</v>
      </c>
    </row>
    <row r="40" spans="1:3" ht="12.75">
      <c r="A40" s="45" t="s">
        <v>19</v>
      </c>
      <c r="B40" s="46" t="s">
        <v>6</v>
      </c>
      <c r="C40" s="45">
        <v>40</v>
      </c>
    </row>
    <row r="41" spans="1:3" ht="12.75">
      <c r="A41" s="45" t="s">
        <v>68</v>
      </c>
      <c r="B41" s="46" t="s">
        <v>30</v>
      </c>
      <c r="C41" s="45">
        <f>E19</f>
        <v>80</v>
      </c>
    </row>
    <row r="42" spans="1:4" ht="12.75">
      <c r="A42" s="45" t="s">
        <v>75</v>
      </c>
      <c r="B42" s="46" t="s">
        <v>30</v>
      </c>
      <c r="C42" s="48">
        <f>C41*C44</f>
        <v>45.01668078378427</v>
      </c>
      <c r="D42" s="49"/>
    </row>
    <row r="43" spans="1:3" ht="12.75">
      <c r="A43" s="10" t="s">
        <v>20</v>
      </c>
      <c r="B43" s="7" t="s">
        <v>17</v>
      </c>
      <c r="C43" s="23"/>
    </row>
    <row r="44" spans="1:3" ht="14.25" customHeight="1">
      <c r="A44" s="22" t="s">
        <v>23</v>
      </c>
      <c r="B44" s="21"/>
      <c r="C44" s="16">
        <f>(1-POWER(1+C30/100,-C29))/(1-POWER(1+C30/100,-C40))</f>
        <v>0.5627085097973034</v>
      </c>
    </row>
    <row r="45" spans="1:3" ht="12.75">
      <c r="A45" s="9"/>
      <c r="B45" s="7"/>
      <c r="C45" s="11"/>
    </row>
    <row r="46" spans="1:3" ht="12.75">
      <c r="A46" s="13" t="s">
        <v>12</v>
      </c>
      <c r="C46" s="11"/>
    </row>
    <row r="47" spans="1:9" ht="12.75">
      <c r="A47" s="59" t="s">
        <v>81</v>
      </c>
      <c r="B47" s="60" t="s">
        <v>17</v>
      </c>
      <c r="C47" s="62">
        <f>175016.68*0.2</f>
        <v>35003.336</v>
      </c>
      <c r="D47" s="57"/>
      <c r="E47" s="57"/>
      <c r="F47" s="57"/>
      <c r="G47" s="57"/>
      <c r="H47" s="57"/>
      <c r="I47" s="57"/>
    </row>
    <row r="48" spans="1:9" ht="12.75">
      <c r="A48" s="59" t="s">
        <v>83</v>
      </c>
      <c r="B48" s="60" t="s">
        <v>17</v>
      </c>
      <c r="C48" s="62">
        <f>SUM(E48:I48)</f>
        <v>43833.6363960149</v>
      </c>
      <c r="D48" s="57"/>
      <c r="E48" s="58">
        <v>8766.72727920298</v>
      </c>
      <c r="F48" s="58">
        <v>8766.72727920298</v>
      </c>
      <c r="G48" s="58">
        <v>8766.72727920298</v>
      </c>
      <c r="H48" s="58">
        <v>8766.72727920298</v>
      </c>
      <c r="I48" s="58">
        <v>8766.72727920298</v>
      </c>
    </row>
    <row r="49" spans="1:9" ht="12" customHeight="1">
      <c r="A49" s="63" t="s">
        <v>82</v>
      </c>
      <c r="B49" s="60" t="s">
        <v>17</v>
      </c>
      <c r="C49" s="61"/>
      <c r="D49" s="58">
        <f>C47*0.01</f>
        <v>350.03336</v>
      </c>
      <c r="E49" s="57"/>
      <c r="F49" s="57"/>
      <c r="G49" s="57"/>
      <c r="H49" s="57"/>
      <c r="I49" s="57"/>
    </row>
    <row r="50" spans="1:3" ht="12.75">
      <c r="A50" s="9"/>
      <c r="C50" s="11"/>
    </row>
    <row r="51" spans="4:54" ht="15" thickBot="1">
      <c r="D51" s="28" t="s">
        <v>5</v>
      </c>
      <c r="E51" s="28">
        <f aca="true" t="shared" si="7" ref="E51:AJ51">E32</f>
        <v>1</v>
      </c>
      <c r="F51" s="28">
        <f t="shared" si="7"/>
        <v>2</v>
      </c>
      <c r="G51" s="28">
        <f t="shared" si="7"/>
        <v>3</v>
      </c>
      <c r="H51" s="28">
        <f t="shared" si="7"/>
        <v>4</v>
      </c>
      <c r="I51" s="28">
        <f t="shared" si="7"/>
        <v>5</v>
      </c>
      <c r="J51" s="28">
        <f t="shared" si="7"/>
        <v>6</v>
      </c>
      <c r="K51" s="28">
        <f t="shared" si="7"/>
        <v>7</v>
      </c>
      <c r="L51" s="28">
        <f t="shared" si="7"/>
        <v>8</v>
      </c>
      <c r="M51" s="28">
        <f t="shared" si="7"/>
        <v>9</v>
      </c>
      <c r="N51" s="28">
        <f t="shared" si="7"/>
        <v>10</v>
      </c>
      <c r="O51" s="28">
        <f t="shared" si="7"/>
      </c>
      <c r="P51" s="28">
        <f t="shared" si="7"/>
      </c>
      <c r="Q51" s="28">
        <f t="shared" si="7"/>
      </c>
      <c r="R51" s="28">
        <f t="shared" si="7"/>
      </c>
      <c r="S51" s="28">
        <f t="shared" si="7"/>
      </c>
      <c r="T51" s="28">
        <f t="shared" si="7"/>
      </c>
      <c r="U51" s="28">
        <f t="shared" si="7"/>
      </c>
      <c r="V51" s="28">
        <f t="shared" si="7"/>
      </c>
      <c r="W51" s="28">
        <f t="shared" si="7"/>
      </c>
      <c r="X51" s="28">
        <f t="shared" si="7"/>
      </c>
      <c r="Y51" s="28">
        <f t="shared" si="7"/>
      </c>
      <c r="Z51" s="28">
        <f t="shared" si="7"/>
      </c>
      <c r="AA51" s="28">
        <f t="shared" si="7"/>
      </c>
      <c r="AB51" s="28">
        <f t="shared" si="7"/>
      </c>
      <c r="AC51" s="28">
        <f t="shared" si="7"/>
      </c>
      <c r="AD51" s="28">
        <f t="shared" si="7"/>
      </c>
      <c r="AE51" s="28">
        <f t="shared" si="7"/>
      </c>
      <c r="AF51" s="28">
        <f t="shared" si="7"/>
      </c>
      <c r="AG51" s="28">
        <f t="shared" si="7"/>
      </c>
      <c r="AH51" s="28">
        <f t="shared" si="7"/>
      </c>
      <c r="AI51" s="28">
        <f t="shared" si="7"/>
      </c>
      <c r="AJ51" s="28">
        <f t="shared" si="7"/>
      </c>
      <c r="AK51" s="28">
        <f aca="true" t="shared" si="8" ref="AK51:BB51">AK32</f>
      </c>
      <c r="AL51" s="28">
        <f t="shared" si="8"/>
      </c>
      <c r="AM51" s="28">
        <f t="shared" si="8"/>
      </c>
      <c r="AN51" s="28">
        <f t="shared" si="8"/>
      </c>
      <c r="AO51" s="28">
        <f t="shared" si="8"/>
      </c>
      <c r="AP51" s="28">
        <f t="shared" si="8"/>
      </c>
      <c r="AQ51" s="28">
        <f t="shared" si="8"/>
      </c>
      <c r="AR51" s="28">
        <f t="shared" si="8"/>
      </c>
      <c r="AS51" s="28">
        <f t="shared" si="8"/>
      </c>
      <c r="AT51" s="28">
        <f t="shared" si="8"/>
      </c>
      <c r="AU51" s="28">
        <f t="shared" si="8"/>
      </c>
      <c r="AV51" s="28">
        <f t="shared" si="8"/>
      </c>
      <c r="AW51" s="28">
        <f t="shared" si="8"/>
      </c>
      <c r="AX51" s="28">
        <f t="shared" si="8"/>
      </c>
      <c r="AY51" s="28">
        <f t="shared" si="8"/>
      </c>
      <c r="AZ51" s="28">
        <f t="shared" si="8"/>
      </c>
      <c r="BA51" s="28">
        <f t="shared" si="8"/>
      </c>
      <c r="BB51" s="28">
        <f t="shared" si="8"/>
      </c>
    </row>
    <row r="52" spans="1:54" ht="19.5" thickBot="1">
      <c r="A52" s="25" t="s">
        <v>15</v>
      </c>
      <c r="B52" s="21" t="s">
        <v>17</v>
      </c>
      <c r="C52" s="15">
        <f>SUM(E52:BB52)</f>
        <v>73635.24220656948</v>
      </c>
      <c r="D52" s="1"/>
      <c r="E52" s="26">
        <f aca="true" t="shared" si="9" ref="E52:AJ52">E53*E30</f>
        <v>10160.946755676261</v>
      </c>
      <c r="F52" s="26">
        <f t="shared" si="9"/>
        <v>9408.284033033575</v>
      </c>
      <c r="G52" s="26">
        <f t="shared" si="9"/>
        <v>8711.374104660717</v>
      </c>
      <c r="H52" s="26">
        <f t="shared" si="9"/>
        <v>8066.087133945108</v>
      </c>
      <c r="I52" s="26">
        <f t="shared" si="9"/>
        <v>7468.599198097322</v>
      </c>
      <c r="J52" s="26">
        <f t="shared" si="9"/>
        <v>6915.36962786789</v>
      </c>
      <c r="K52" s="26">
        <f t="shared" si="9"/>
        <v>6403.1200258036015</v>
      </c>
      <c r="L52" s="26">
        <f t="shared" si="9"/>
        <v>5928.814838707038</v>
      </c>
      <c r="M52" s="26">
        <f t="shared" si="9"/>
        <v>5489.643369173182</v>
      </c>
      <c r="N52" s="26">
        <f t="shared" si="9"/>
        <v>5083.003119604798</v>
      </c>
      <c r="O52" s="26">
        <f t="shared" si="9"/>
        <v>0</v>
      </c>
      <c r="P52" s="26">
        <f t="shared" si="9"/>
        <v>0</v>
      </c>
      <c r="Q52" s="26">
        <f t="shared" si="9"/>
        <v>0</v>
      </c>
      <c r="R52" s="26">
        <f t="shared" si="9"/>
        <v>0</v>
      </c>
      <c r="S52" s="26">
        <f t="shared" si="9"/>
        <v>0</v>
      </c>
      <c r="T52" s="26">
        <f t="shared" si="9"/>
        <v>0</v>
      </c>
      <c r="U52" s="26">
        <f t="shared" si="9"/>
        <v>0</v>
      </c>
      <c r="V52" s="26">
        <f t="shared" si="9"/>
        <v>0</v>
      </c>
      <c r="W52" s="26">
        <f t="shared" si="9"/>
        <v>0</v>
      </c>
      <c r="X52" s="26">
        <f t="shared" si="9"/>
        <v>0</v>
      </c>
      <c r="Y52" s="26">
        <f t="shared" si="9"/>
        <v>0</v>
      </c>
      <c r="Z52" s="26">
        <f t="shared" si="9"/>
        <v>0</v>
      </c>
      <c r="AA52" s="26">
        <f t="shared" si="9"/>
        <v>0</v>
      </c>
      <c r="AB52" s="26">
        <f t="shared" si="9"/>
        <v>0</v>
      </c>
      <c r="AC52" s="26">
        <f t="shared" si="9"/>
        <v>0</v>
      </c>
      <c r="AD52" s="26">
        <f t="shared" si="9"/>
        <v>0</v>
      </c>
      <c r="AE52" s="26">
        <f t="shared" si="9"/>
        <v>0</v>
      </c>
      <c r="AF52" s="26">
        <f t="shared" si="9"/>
        <v>0</v>
      </c>
      <c r="AG52" s="26">
        <f t="shared" si="9"/>
        <v>0</v>
      </c>
      <c r="AH52" s="26">
        <f t="shared" si="9"/>
        <v>0</v>
      </c>
      <c r="AI52" s="26">
        <f t="shared" si="9"/>
        <v>0</v>
      </c>
      <c r="AJ52" s="26">
        <f t="shared" si="9"/>
        <v>0</v>
      </c>
      <c r="AK52" s="26">
        <f aca="true" t="shared" si="10" ref="AK52:BB52">AK53*AK30</f>
        <v>0</v>
      </c>
      <c r="AL52" s="26">
        <f t="shared" si="10"/>
        <v>0</v>
      </c>
      <c r="AM52" s="26">
        <f t="shared" si="10"/>
        <v>0</v>
      </c>
      <c r="AN52" s="26">
        <f t="shared" si="10"/>
        <v>0</v>
      </c>
      <c r="AO52" s="26">
        <f t="shared" si="10"/>
        <v>0</v>
      </c>
      <c r="AP52" s="26">
        <f t="shared" si="10"/>
        <v>0</v>
      </c>
      <c r="AQ52" s="26">
        <f t="shared" si="10"/>
        <v>0</v>
      </c>
      <c r="AR52" s="26">
        <f t="shared" si="10"/>
        <v>0</v>
      </c>
      <c r="AS52" s="26">
        <f t="shared" si="10"/>
        <v>0</v>
      </c>
      <c r="AT52" s="26">
        <f t="shared" si="10"/>
        <v>0</v>
      </c>
      <c r="AU52" s="26">
        <f t="shared" si="10"/>
        <v>0</v>
      </c>
      <c r="AV52" s="26">
        <f t="shared" si="10"/>
        <v>0</v>
      </c>
      <c r="AW52" s="26">
        <f t="shared" si="10"/>
        <v>0</v>
      </c>
      <c r="AX52" s="26">
        <f t="shared" si="10"/>
        <v>0</v>
      </c>
      <c r="AY52" s="26">
        <f t="shared" si="10"/>
        <v>0</v>
      </c>
      <c r="AZ52" s="26">
        <f t="shared" si="10"/>
        <v>0</v>
      </c>
      <c r="BA52" s="26">
        <f t="shared" si="10"/>
        <v>0</v>
      </c>
      <c r="BB52" s="26">
        <f t="shared" si="10"/>
        <v>0</v>
      </c>
    </row>
    <row r="53" spans="1:54" ht="15.75" thickBot="1">
      <c r="A53" s="29" t="s">
        <v>25</v>
      </c>
      <c r="B53" s="7" t="s">
        <v>17</v>
      </c>
      <c r="C53" s="15">
        <f>SUM(E53:BB53)</f>
        <v>109738.22496130364</v>
      </c>
      <c r="E53" s="30">
        <f aca="true" t="shared" si="11" ref="E53:X53">E58+E62+E65-E71</f>
        <v>10973.822496130364</v>
      </c>
      <c r="F53" s="30">
        <f t="shared" si="11"/>
        <v>10973.822496130364</v>
      </c>
      <c r="G53" s="30">
        <f t="shared" si="11"/>
        <v>10973.822496130364</v>
      </c>
      <c r="H53" s="30">
        <f t="shared" si="11"/>
        <v>10973.822496130364</v>
      </c>
      <c r="I53" s="30">
        <f t="shared" si="11"/>
        <v>10973.822496130364</v>
      </c>
      <c r="J53" s="30">
        <f t="shared" si="11"/>
        <v>10973.822496130364</v>
      </c>
      <c r="K53" s="30">
        <f t="shared" si="11"/>
        <v>10973.822496130364</v>
      </c>
      <c r="L53" s="30">
        <f t="shared" si="11"/>
        <v>10973.822496130364</v>
      </c>
      <c r="M53" s="30">
        <f t="shared" si="11"/>
        <v>10973.822496130364</v>
      </c>
      <c r="N53" s="30">
        <f t="shared" si="11"/>
        <v>10973.822496130364</v>
      </c>
      <c r="O53" s="30">
        <f t="shared" si="11"/>
        <v>0</v>
      </c>
      <c r="P53" s="30">
        <f t="shared" si="11"/>
        <v>0</v>
      </c>
      <c r="Q53" s="30">
        <f t="shared" si="11"/>
        <v>0</v>
      </c>
      <c r="R53" s="30">
        <f t="shared" si="11"/>
        <v>0</v>
      </c>
      <c r="S53" s="30">
        <f t="shared" si="11"/>
        <v>0</v>
      </c>
      <c r="T53" s="30">
        <f t="shared" si="11"/>
        <v>0</v>
      </c>
      <c r="U53" s="30">
        <f t="shared" si="11"/>
        <v>0</v>
      </c>
      <c r="V53" s="30">
        <f t="shared" si="11"/>
        <v>0</v>
      </c>
      <c r="W53" s="30">
        <f t="shared" si="11"/>
        <v>0</v>
      </c>
      <c r="X53" s="30">
        <f t="shared" si="11"/>
        <v>0</v>
      </c>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row>
    <row r="54" ht="12.75">
      <c r="A54" s="12" t="s">
        <v>13</v>
      </c>
    </row>
    <row r="55" spans="1:3" ht="12.75">
      <c r="A55" s="42" t="s">
        <v>46</v>
      </c>
      <c r="B55" s="46" t="s">
        <v>48</v>
      </c>
      <c r="C55" s="45">
        <f>E8*E17*24/1000</f>
        <v>624.96</v>
      </c>
    </row>
    <row r="56" spans="1:3" ht="12.75">
      <c r="A56" s="42" t="s">
        <v>47</v>
      </c>
      <c r="B56" s="46" t="s">
        <v>48</v>
      </c>
      <c r="C56" s="45">
        <f>E8/2*E18*24/1000</f>
        <v>300.72</v>
      </c>
    </row>
    <row r="57" spans="1:3" ht="12.75">
      <c r="A57" s="42" t="s">
        <v>51</v>
      </c>
      <c r="B57" s="46" t="s">
        <v>53</v>
      </c>
      <c r="C57" s="47">
        <f>(C55/(E14/100)+C56/(E15/100))*859845/E12/1000</f>
        <v>489.6991185324554</v>
      </c>
    </row>
    <row r="58" spans="1:14" ht="12.75">
      <c r="A58" s="42" t="s">
        <v>54</v>
      </c>
      <c r="B58" s="46" t="s">
        <v>55</v>
      </c>
      <c r="C58" s="47">
        <f>C57*E11</f>
        <v>122.42477963311384</v>
      </c>
      <c r="E58">
        <f>C58*1000</f>
        <v>122424.77963311384</v>
      </c>
      <c r="F58">
        <f aca="true" t="shared" si="12" ref="F58:N58">E58</f>
        <v>122424.77963311384</v>
      </c>
      <c r="G58">
        <f t="shared" si="12"/>
        <v>122424.77963311384</v>
      </c>
      <c r="H58">
        <f t="shared" si="12"/>
        <v>122424.77963311384</v>
      </c>
      <c r="I58">
        <f t="shared" si="12"/>
        <v>122424.77963311384</v>
      </c>
      <c r="J58">
        <f t="shared" si="12"/>
        <v>122424.77963311384</v>
      </c>
      <c r="K58">
        <f t="shared" si="12"/>
        <v>122424.77963311384</v>
      </c>
      <c r="L58">
        <f t="shared" si="12"/>
        <v>122424.77963311384</v>
      </c>
      <c r="M58">
        <f t="shared" si="12"/>
        <v>122424.77963311384</v>
      </c>
      <c r="N58">
        <f t="shared" si="12"/>
        <v>122424.77963311384</v>
      </c>
    </row>
    <row r="59" ht="12.75">
      <c r="A59" s="12"/>
    </row>
    <row r="60" ht="12.75">
      <c r="A60" s="12" t="s">
        <v>14</v>
      </c>
    </row>
    <row r="61" spans="1:3" ht="12.75">
      <c r="A61" s="42" t="s">
        <v>58</v>
      </c>
      <c r="B61" s="46" t="s">
        <v>59</v>
      </c>
      <c r="C61" s="45">
        <f>E22*365*24</f>
        <v>17520</v>
      </c>
    </row>
    <row r="62" spans="1:14" ht="12.75">
      <c r="A62" s="42" t="s">
        <v>60</v>
      </c>
      <c r="B62" s="46" t="s">
        <v>61</v>
      </c>
      <c r="C62" s="45">
        <f>C61*E23/100</f>
        <v>6377.28</v>
      </c>
      <c r="E62">
        <f>C62</f>
        <v>6377.28</v>
      </c>
      <c r="F62">
        <f aca="true" t="shared" si="13" ref="F62:N62">E62</f>
        <v>6377.28</v>
      </c>
      <c r="G62">
        <f t="shared" si="13"/>
        <v>6377.28</v>
      </c>
      <c r="H62">
        <f t="shared" si="13"/>
        <v>6377.28</v>
      </c>
      <c r="I62">
        <f t="shared" si="13"/>
        <v>6377.28</v>
      </c>
      <c r="J62">
        <f t="shared" si="13"/>
        <v>6377.28</v>
      </c>
      <c r="K62">
        <f t="shared" si="13"/>
        <v>6377.28</v>
      </c>
      <c r="L62">
        <f t="shared" si="13"/>
        <v>6377.28</v>
      </c>
      <c r="M62">
        <f t="shared" si="13"/>
        <v>6377.28</v>
      </c>
      <c r="N62">
        <f t="shared" si="13"/>
        <v>6377.28</v>
      </c>
    </row>
    <row r="63" ht="12.75">
      <c r="B63" s="7"/>
    </row>
    <row r="64" spans="1:2" ht="12.75">
      <c r="A64" s="12" t="s">
        <v>18</v>
      </c>
      <c r="B64" s="7"/>
    </row>
    <row r="65" spans="1:14" ht="12.75">
      <c r="A65" s="42" t="s">
        <v>62</v>
      </c>
      <c r="B65" s="46" t="s">
        <v>61</v>
      </c>
      <c r="C65" s="45">
        <f>E24*1.34*12</f>
        <v>28944</v>
      </c>
      <c r="E65">
        <f>C65</f>
        <v>28944</v>
      </c>
      <c r="F65">
        <f aca="true" t="shared" si="14" ref="F65:N65">E65</f>
        <v>28944</v>
      </c>
      <c r="G65">
        <f t="shared" si="14"/>
        <v>28944</v>
      </c>
      <c r="H65">
        <f t="shared" si="14"/>
        <v>28944</v>
      </c>
      <c r="I65">
        <f t="shared" si="14"/>
        <v>28944</v>
      </c>
      <c r="J65">
        <f t="shared" si="14"/>
        <v>28944</v>
      </c>
      <c r="K65">
        <f t="shared" si="14"/>
        <v>28944</v>
      </c>
      <c r="L65">
        <f t="shared" si="14"/>
        <v>28944</v>
      </c>
      <c r="M65">
        <f t="shared" si="14"/>
        <v>28944</v>
      </c>
      <c r="N65">
        <f t="shared" si="14"/>
        <v>28944</v>
      </c>
    </row>
    <row r="66" ht="12.75">
      <c r="B66" s="7"/>
    </row>
    <row r="67" spans="1:2" ht="12.75">
      <c r="A67" s="12" t="s">
        <v>16</v>
      </c>
      <c r="B67" s="7"/>
    </row>
    <row r="68" spans="1:2" ht="12.75">
      <c r="A68" s="5"/>
      <c r="B68" s="7"/>
    </row>
    <row r="69" spans="1:2" ht="12.75">
      <c r="A69" s="52" t="s">
        <v>65</v>
      </c>
      <c r="B69" s="7"/>
    </row>
    <row r="70" spans="1:3" ht="12.75">
      <c r="A70" s="42" t="s">
        <v>66</v>
      </c>
      <c r="B70" s="46" t="s">
        <v>53</v>
      </c>
      <c r="C70" s="48">
        <f>(C55+C56)/(E20/100)*859845/E21/1000</f>
        <v>82.2253429338843</v>
      </c>
    </row>
    <row r="71" spans="1:14" ht="12.75">
      <c r="A71" s="42" t="s">
        <v>67</v>
      </c>
      <c r="B71" s="46" t="s">
        <v>55</v>
      </c>
      <c r="C71" s="48">
        <f>C70*E16/1000</f>
        <v>146.77223713698348</v>
      </c>
      <c r="E71">
        <f>C71*1000</f>
        <v>146772.2371369835</v>
      </c>
      <c r="F71">
        <f aca="true" t="shared" si="15" ref="F71:N71">E71</f>
        <v>146772.2371369835</v>
      </c>
      <c r="G71">
        <f t="shared" si="15"/>
        <v>146772.2371369835</v>
      </c>
      <c r="H71">
        <f t="shared" si="15"/>
        <v>146772.2371369835</v>
      </c>
      <c r="I71">
        <f t="shared" si="15"/>
        <v>146772.2371369835</v>
      </c>
      <c r="J71">
        <f t="shared" si="15"/>
        <v>146772.2371369835</v>
      </c>
      <c r="K71">
        <f t="shared" si="15"/>
        <v>146772.2371369835</v>
      </c>
      <c r="L71">
        <f t="shared" si="15"/>
        <v>146772.2371369835</v>
      </c>
      <c r="M71">
        <f t="shared" si="15"/>
        <v>146772.2371369835</v>
      </c>
      <c r="N71">
        <f t="shared" si="15"/>
        <v>146772.2371369835</v>
      </c>
    </row>
    <row r="72" ht="12.75">
      <c r="A72" s="5"/>
    </row>
    <row r="73" ht="13.5" thickBot="1"/>
    <row r="74" spans="1:3" ht="15.75" thickBot="1">
      <c r="A74" s="19" t="s">
        <v>74</v>
      </c>
      <c r="B74" s="17" t="s">
        <v>7</v>
      </c>
      <c r="C74" s="15">
        <f>(C55+C56)*1000</f>
        <v>925680.0000000001</v>
      </c>
    </row>
    <row r="75" spans="1:3" ht="12.75">
      <c r="A75" s="6"/>
      <c r="B75" s="7"/>
      <c r="C75" s="2"/>
    </row>
    <row r="76" ht="13.5" thickBot="1"/>
    <row r="77" spans="1:3" ht="33" thickBot="1" thickTop="1">
      <c r="A77" s="54" t="s">
        <v>73</v>
      </c>
      <c r="B77" s="37" t="s">
        <v>8</v>
      </c>
      <c r="C77" s="64">
        <f>IF(C74&gt;0,C32*100/C74*C30/100/(1-POWER(1+C30/100,-C29)),"")</f>
        <v>1.7546524697154307</v>
      </c>
    </row>
    <row r="78" ht="13.5" thickTop="1"/>
  </sheetData>
  <sheetProtection/>
  <mergeCells count="23">
    <mergeCell ref="A26:C26"/>
    <mergeCell ref="A19:C19"/>
    <mergeCell ref="A21:C21"/>
    <mergeCell ref="A22:C22"/>
    <mergeCell ref="A23:C23"/>
    <mergeCell ref="A15:C15"/>
    <mergeCell ref="A20:C20"/>
    <mergeCell ref="A24:C24"/>
    <mergeCell ref="A25:C25"/>
    <mergeCell ref="A18:C18"/>
    <mergeCell ref="A9:C9"/>
    <mergeCell ref="A10:C10"/>
    <mergeCell ref="A11:C11"/>
    <mergeCell ref="A13:C13"/>
    <mergeCell ref="A16:C16"/>
    <mergeCell ref="A12:C12"/>
    <mergeCell ref="A14:C14"/>
    <mergeCell ref="A2:D2"/>
    <mergeCell ref="A1:D1"/>
    <mergeCell ref="A6:I6"/>
    <mergeCell ref="A7:C7"/>
    <mergeCell ref="A8:C8"/>
    <mergeCell ref="A17:C17"/>
  </mergeCells>
  <printOptions gridLines="1"/>
  <pageMargins left="1.26" right="0.37" top="0.68" bottom="0.63" header="0.5" footer="0.5"/>
  <pageSetup fitToHeight="1" fitToWidth="1" horizontalDpi="200" verticalDpi="200" orientation="portrait" scale="5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77"/>
  <sheetViews>
    <sheetView zoomScalePageLayoutView="0" workbookViewId="0" topLeftCell="A61">
      <selection activeCell="C77" sqref="C77"/>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28</v>
      </c>
      <c r="B2" s="66"/>
      <c r="C2" s="66"/>
      <c r="D2" s="66"/>
      <c r="E2" s="1"/>
    </row>
    <row r="3" spans="1:5" ht="24" customHeight="1">
      <c r="A3" s="55" t="s">
        <v>80</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69</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70</v>
      </c>
      <c r="B8" s="76"/>
      <c r="C8" s="77"/>
      <c r="D8" s="33" t="s">
        <v>31</v>
      </c>
      <c r="E8" s="51">
        <v>140</v>
      </c>
      <c r="F8" s="32"/>
      <c r="G8" s="32"/>
      <c r="H8" s="32"/>
      <c r="I8" s="32"/>
    </row>
    <row r="9" spans="1:9" ht="15" customHeight="1">
      <c r="A9" s="78" t="s">
        <v>32</v>
      </c>
      <c r="B9" s="79"/>
      <c r="C9" s="80"/>
      <c r="D9" s="33" t="s">
        <v>30</v>
      </c>
      <c r="E9" s="51">
        <v>30</v>
      </c>
      <c r="F9" s="32"/>
      <c r="G9" s="32"/>
      <c r="H9" s="32"/>
      <c r="I9" s="32"/>
    </row>
    <row r="10" spans="1:9" ht="15" customHeight="1">
      <c r="A10" s="78" t="s">
        <v>71</v>
      </c>
      <c r="B10" s="81"/>
      <c r="C10" s="80"/>
      <c r="D10" s="33" t="s">
        <v>30</v>
      </c>
      <c r="E10" s="53">
        <v>100</v>
      </c>
      <c r="F10" s="32"/>
      <c r="G10" s="32"/>
      <c r="H10" s="32"/>
      <c r="I10" s="32"/>
    </row>
    <row r="11" spans="1:9" ht="15" customHeight="1">
      <c r="A11" s="78" t="s">
        <v>33</v>
      </c>
      <c r="B11" s="79"/>
      <c r="C11" s="80"/>
      <c r="D11" s="33" t="s">
        <v>34</v>
      </c>
      <c r="E11" s="41">
        <v>0.25</v>
      </c>
      <c r="F11" s="32"/>
      <c r="G11" s="32"/>
      <c r="H11" s="32"/>
      <c r="I11" s="32"/>
    </row>
    <row r="12" spans="1:9" ht="15" customHeight="1">
      <c r="A12" s="78" t="s">
        <v>44</v>
      </c>
      <c r="B12" s="81"/>
      <c r="C12" s="80"/>
      <c r="D12" s="33" t="s">
        <v>43</v>
      </c>
      <c r="E12" s="41">
        <v>2126</v>
      </c>
      <c r="F12" s="32"/>
      <c r="G12" s="32"/>
      <c r="H12" s="32"/>
      <c r="I12" s="32"/>
    </row>
    <row r="13" spans="1:9" ht="15" customHeight="1">
      <c r="A13" s="78" t="s">
        <v>35</v>
      </c>
      <c r="B13" s="79"/>
      <c r="C13" s="80"/>
      <c r="D13" s="33" t="s">
        <v>36</v>
      </c>
      <c r="E13" s="51">
        <v>10</v>
      </c>
      <c r="F13" s="32"/>
      <c r="G13" s="32"/>
      <c r="H13" s="32"/>
      <c r="I13" s="32"/>
    </row>
    <row r="14" spans="1:9" ht="15" customHeight="1">
      <c r="A14" s="78" t="s">
        <v>49</v>
      </c>
      <c r="B14" s="81"/>
      <c r="C14" s="80"/>
      <c r="D14" s="33" t="s">
        <v>3</v>
      </c>
      <c r="E14" s="41">
        <v>80</v>
      </c>
      <c r="F14" s="32"/>
      <c r="G14" s="32"/>
      <c r="H14" s="32"/>
      <c r="I14" s="32"/>
    </row>
    <row r="15" spans="1:9" ht="15" customHeight="1">
      <c r="A15" s="78" t="s">
        <v>50</v>
      </c>
      <c r="B15" s="81"/>
      <c r="C15" s="80"/>
      <c r="D15" s="33" t="s">
        <v>3</v>
      </c>
      <c r="E15" s="41">
        <v>70</v>
      </c>
      <c r="F15" s="32"/>
      <c r="G15" s="32"/>
      <c r="H15" s="32"/>
      <c r="I15" s="32"/>
    </row>
    <row r="16" spans="1:9" ht="15" customHeight="1">
      <c r="A16" s="78" t="s">
        <v>37</v>
      </c>
      <c r="B16" s="79"/>
      <c r="C16" s="80"/>
      <c r="D16" s="33" t="s">
        <v>38</v>
      </c>
      <c r="E16" s="41">
        <v>1785</v>
      </c>
      <c r="F16" s="32"/>
      <c r="G16" s="32"/>
      <c r="H16" s="32"/>
      <c r="I16" s="32"/>
    </row>
    <row r="17" spans="1:9" ht="15" customHeight="1">
      <c r="A17" s="78" t="s">
        <v>39</v>
      </c>
      <c r="B17" s="79"/>
      <c r="C17" s="80"/>
      <c r="D17" s="33" t="s">
        <v>41</v>
      </c>
      <c r="E17" s="41">
        <v>186</v>
      </c>
      <c r="F17" s="32"/>
      <c r="G17" s="32"/>
      <c r="H17" s="32"/>
      <c r="I17" s="32"/>
    </row>
    <row r="18" spans="1:9" ht="15" customHeight="1">
      <c r="A18" s="78" t="s">
        <v>40</v>
      </c>
      <c r="B18" s="79"/>
      <c r="C18" s="80"/>
      <c r="D18" s="33" t="s">
        <v>41</v>
      </c>
      <c r="E18" s="41">
        <f>365-E17</f>
        <v>179</v>
      </c>
      <c r="F18" s="32"/>
      <c r="G18" s="32"/>
      <c r="H18" s="32"/>
      <c r="I18" s="32"/>
    </row>
    <row r="19" spans="1:9" ht="15" customHeight="1">
      <c r="A19" s="78" t="s">
        <v>42</v>
      </c>
      <c r="B19" s="79"/>
      <c r="C19" s="80"/>
      <c r="D19" s="33" t="s">
        <v>30</v>
      </c>
      <c r="E19" s="41">
        <v>80</v>
      </c>
      <c r="F19" s="32"/>
      <c r="G19" s="32"/>
      <c r="H19" s="32"/>
      <c r="I19" s="32"/>
    </row>
    <row r="20" spans="1:9" ht="15" customHeight="1">
      <c r="A20" s="78" t="s">
        <v>52</v>
      </c>
      <c r="B20" s="81"/>
      <c r="C20" s="80"/>
      <c r="D20" s="33" t="s">
        <v>3</v>
      </c>
      <c r="E20" s="41">
        <v>88</v>
      </c>
      <c r="F20" s="32"/>
      <c r="G20" s="32"/>
      <c r="H20" s="32"/>
      <c r="I20" s="32"/>
    </row>
    <row r="21" spans="1:9" ht="15" customHeight="1">
      <c r="A21" s="78" t="s">
        <v>45</v>
      </c>
      <c r="B21" s="79"/>
      <c r="C21" s="80"/>
      <c r="D21" s="33" t="s">
        <v>43</v>
      </c>
      <c r="E21" s="41">
        <v>11000</v>
      </c>
      <c r="F21" s="32"/>
      <c r="G21" s="32"/>
      <c r="H21" s="32"/>
      <c r="I21" s="32"/>
    </row>
    <row r="22" spans="1:9" ht="15" customHeight="1">
      <c r="A22" s="78" t="s">
        <v>56</v>
      </c>
      <c r="B22" s="79"/>
      <c r="C22" s="80"/>
      <c r="D22" s="33" t="s">
        <v>31</v>
      </c>
      <c r="E22" s="41">
        <v>2</v>
      </c>
      <c r="F22" s="32"/>
      <c r="G22" s="32"/>
      <c r="H22" s="32"/>
      <c r="I22" s="32"/>
    </row>
    <row r="23" spans="1:9" ht="15" customHeight="1">
      <c r="A23" s="78" t="s">
        <v>57</v>
      </c>
      <c r="B23" s="79"/>
      <c r="C23" s="80"/>
      <c r="D23" s="33" t="s">
        <v>8</v>
      </c>
      <c r="E23" s="41">
        <v>36.4</v>
      </c>
      <c r="F23" s="32"/>
      <c r="G23" s="32"/>
      <c r="H23" s="32"/>
      <c r="I23" s="32"/>
    </row>
    <row r="24" spans="1:9" ht="15" customHeight="1">
      <c r="A24" s="78" t="s">
        <v>63</v>
      </c>
      <c r="B24" s="79"/>
      <c r="C24" s="80"/>
      <c r="D24" s="33" t="s">
        <v>64</v>
      </c>
      <c r="E24" s="41">
        <v>1800</v>
      </c>
      <c r="F24" s="32"/>
      <c r="G24" s="32"/>
      <c r="H24" s="32"/>
      <c r="I24" s="32"/>
    </row>
    <row r="25" spans="1:9" ht="15" customHeight="1">
      <c r="A25" s="78"/>
      <c r="B25" s="79"/>
      <c r="C25" s="80"/>
      <c r="D25" s="32"/>
      <c r="E25" s="41"/>
      <c r="F25" s="32"/>
      <c r="G25" s="32"/>
      <c r="H25" s="32"/>
      <c r="I25" s="32"/>
    </row>
    <row r="26" spans="1:9" ht="15" customHeight="1" thickBot="1">
      <c r="A26" s="82"/>
      <c r="B26" s="83"/>
      <c r="C26" s="84"/>
      <c r="D26" s="32"/>
      <c r="E26" s="32"/>
      <c r="F26" s="32"/>
      <c r="G26" s="32"/>
      <c r="H26" s="32"/>
      <c r="I26" s="32"/>
    </row>
    <row r="27" spans="1:9" ht="15" customHeight="1" thickBot="1">
      <c r="A27" s="31"/>
      <c r="B27" s="36"/>
      <c r="C27" s="36"/>
      <c r="D27" s="32"/>
      <c r="E27" s="32"/>
      <c r="F27" s="32"/>
      <c r="G27" s="32"/>
      <c r="H27" s="32"/>
      <c r="I27" s="32"/>
    </row>
    <row r="28" spans="1:3" ht="14.25" thickBot="1" thickTop="1">
      <c r="A28" s="34" t="s">
        <v>0</v>
      </c>
      <c r="B28" s="3" t="s">
        <v>1</v>
      </c>
      <c r="C28" s="2"/>
    </row>
    <row r="29" spans="1:3" ht="25.5" customHeight="1" thickTop="1">
      <c r="A29" s="18" t="s">
        <v>22</v>
      </c>
      <c r="B29" s="38" t="s">
        <v>6</v>
      </c>
      <c r="C29" s="39">
        <f>E13</f>
        <v>10</v>
      </c>
    </row>
    <row r="30" spans="1:54" ht="15" thickBot="1">
      <c r="A30" s="16" t="s">
        <v>2</v>
      </c>
      <c r="B30" s="38" t="s">
        <v>3</v>
      </c>
      <c r="C30" s="40">
        <v>8</v>
      </c>
      <c r="D30" s="14">
        <v>1</v>
      </c>
      <c r="E30" s="14">
        <f>1/(1+C30/100)</f>
        <v>0.9259259259259258</v>
      </c>
      <c r="F30" s="14">
        <f>E30/(1+$C30/100)</f>
        <v>0.8573388203017831</v>
      </c>
      <c r="G30" s="14">
        <f>F30/(1+$C30/100)</f>
        <v>0.7938322410201695</v>
      </c>
      <c r="H30" s="14">
        <f aca="true" t="shared" si="0" ref="H30:BB30">G30/(1+$C30/100)</f>
        <v>0.7350298527964532</v>
      </c>
      <c r="I30" s="14">
        <f>H30/(1+$C30/100)</f>
        <v>0.6805831970337529</v>
      </c>
      <c r="J30" s="14">
        <f t="shared" si="0"/>
        <v>0.6301696268831045</v>
      </c>
      <c r="K30" s="14">
        <f>J30/(1+$C30/100)</f>
        <v>0.5834903952621338</v>
      </c>
      <c r="L30" s="14">
        <f t="shared" si="0"/>
        <v>0.5402688845019756</v>
      </c>
      <c r="M30" s="14">
        <f t="shared" si="0"/>
        <v>0.5002489671314588</v>
      </c>
      <c r="N30" s="14">
        <f t="shared" si="0"/>
        <v>0.4631934880846841</v>
      </c>
      <c r="O30" s="14">
        <f t="shared" si="0"/>
        <v>0.4288828593376704</v>
      </c>
      <c r="P30" s="14">
        <f t="shared" si="0"/>
        <v>0.3971137586459911</v>
      </c>
      <c r="Q30" s="14">
        <f t="shared" si="0"/>
        <v>0.36769792467221396</v>
      </c>
      <c r="R30" s="14">
        <f t="shared" si="0"/>
        <v>0.3404610413631611</v>
      </c>
      <c r="S30" s="14">
        <f t="shared" si="0"/>
        <v>0.3152417049658899</v>
      </c>
      <c r="T30" s="14">
        <f t="shared" si="0"/>
        <v>0.2918904675610091</v>
      </c>
      <c r="U30" s="14">
        <f t="shared" si="0"/>
        <v>0.27026895144537877</v>
      </c>
      <c r="V30" s="14">
        <f t="shared" si="0"/>
        <v>0.2502490291160914</v>
      </c>
      <c r="W30" s="14">
        <f t="shared" si="0"/>
        <v>0.23171206399638095</v>
      </c>
      <c r="X30" s="14">
        <f t="shared" si="0"/>
        <v>0.21454820740405642</v>
      </c>
      <c r="Y30" s="14">
        <f t="shared" si="0"/>
        <v>0.19865574759634852</v>
      </c>
      <c r="Z30" s="14">
        <f t="shared" si="0"/>
        <v>0.18394050703365603</v>
      </c>
      <c r="AA30" s="14">
        <f t="shared" si="0"/>
        <v>0.17031528429042223</v>
      </c>
      <c r="AB30" s="14">
        <f t="shared" si="0"/>
        <v>0.15769933730594649</v>
      </c>
      <c r="AC30" s="14">
        <f t="shared" si="0"/>
        <v>0.14601790491291342</v>
      </c>
      <c r="AD30" s="14">
        <f t="shared" si="0"/>
        <v>0.13520176380825316</v>
      </c>
      <c r="AE30" s="14">
        <f t="shared" si="0"/>
        <v>0.12518681834097514</v>
      </c>
      <c r="AF30" s="14">
        <f t="shared" si="0"/>
        <v>0.11591372068608809</v>
      </c>
      <c r="AG30" s="14">
        <f t="shared" si="0"/>
        <v>0.10732751915378526</v>
      </c>
      <c r="AH30" s="14">
        <f t="shared" si="0"/>
        <v>0.09937733254980116</v>
      </c>
      <c r="AI30" s="14">
        <f t="shared" si="0"/>
        <v>0.09201604865722329</v>
      </c>
      <c r="AJ30" s="14">
        <f t="shared" si="0"/>
        <v>0.08520004505298452</v>
      </c>
      <c r="AK30" s="14">
        <f t="shared" si="0"/>
        <v>0.0788889306046153</v>
      </c>
      <c r="AL30" s="14">
        <f t="shared" si="0"/>
        <v>0.07304530611538453</v>
      </c>
      <c r="AM30" s="14">
        <f t="shared" si="0"/>
        <v>0.06763454269943012</v>
      </c>
      <c r="AN30" s="14">
        <f t="shared" si="0"/>
        <v>0.0626245765735464</v>
      </c>
      <c r="AO30" s="14">
        <f t="shared" si="0"/>
        <v>0.057985719049580005</v>
      </c>
      <c r="AP30" s="14">
        <f t="shared" si="0"/>
        <v>0.05369048060146296</v>
      </c>
      <c r="AQ30" s="14">
        <f t="shared" si="0"/>
        <v>0.04971340796431755</v>
      </c>
      <c r="AR30" s="14">
        <f t="shared" si="0"/>
        <v>0.04603093330029402</v>
      </c>
      <c r="AS30" s="14">
        <f t="shared" si="0"/>
        <v>0.042621234537309274</v>
      </c>
      <c r="AT30" s="14">
        <f t="shared" si="0"/>
        <v>0.03946410605306414</v>
      </c>
      <c r="AU30" s="14">
        <f t="shared" si="0"/>
        <v>0.03654083893802235</v>
      </c>
      <c r="AV30" s="14">
        <f t="shared" si="0"/>
        <v>0.033834110127798474</v>
      </c>
      <c r="AW30" s="14">
        <f t="shared" si="0"/>
        <v>0.03132787974796155</v>
      </c>
      <c r="AX30" s="14">
        <f t="shared" si="0"/>
        <v>0.02900729606292736</v>
      </c>
      <c r="AY30" s="14">
        <f t="shared" si="0"/>
        <v>0.02685860746567348</v>
      </c>
      <c r="AZ30" s="14">
        <f t="shared" si="0"/>
        <v>0.0248690809867347</v>
      </c>
      <c r="BA30" s="14">
        <f t="shared" si="0"/>
        <v>0.023026926839569164</v>
      </c>
      <c r="BB30" s="14">
        <f t="shared" si="0"/>
        <v>0.02132122855515663</v>
      </c>
    </row>
    <row r="31" ht="15" thickBot="1">
      <c r="D31" s="28" t="s">
        <v>5</v>
      </c>
    </row>
    <row r="32" spans="1:54" ht="15.75" thickBot="1">
      <c r="A32" s="19" t="s">
        <v>21</v>
      </c>
      <c r="B32" s="17" t="s">
        <v>17</v>
      </c>
      <c r="C32" s="15">
        <f>C33+C52</f>
        <v>111418.08034513493</v>
      </c>
      <c r="D32" s="28">
        <v>0</v>
      </c>
      <c r="E32" s="28">
        <f>IF(D32&lt;$C29,D32+1,"")</f>
        <v>1</v>
      </c>
      <c r="F32" s="28">
        <f aca="true" t="shared" si="1" ref="F32:BB32">IF(E32&lt;$C29,E32+1,"")</f>
        <v>2</v>
      </c>
      <c r="G32" s="28">
        <f t="shared" si="1"/>
        <v>3</v>
      </c>
      <c r="H32" s="28">
        <f t="shared" si="1"/>
        <v>4</v>
      </c>
      <c r="I32" s="28">
        <f t="shared" si="1"/>
        <v>5</v>
      </c>
      <c r="J32" s="28">
        <f t="shared" si="1"/>
        <v>6</v>
      </c>
      <c r="K32" s="28">
        <f t="shared" si="1"/>
        <v>7</v>
      </c>
      <c r="L32" s="28">
        <f t="shared" si="1"/>
        <v>8</v>
      </c>
      <c r="M32" s="28">
        <f t="shared" si="1"/>
        <v>9</v>
      </c>
      <c r="N32" s="28">
        <f t="shared" si="1"/>
        <v>10</v>
      </c>
      <c r="O32" s="28">
        <f t="shared" si="1"/>
      </c>
      <c r="P32" s="28">
        <f t="shared" si="1"/>
      </c>
      <c r="Q32" s="28">
        <f t="shared" si="1"/>
      </c>
      <c r="R32" s="28">
        <f t="shared" si="1"/>
      </c>
      <c r="S32" s="28">
        <f t="shared" si="1"/>
      </c>
      <c r="T32" s="28">
        <f t="shared" si="1"/>
      </c>
      <c r="U32" s="28">
        <f t="shared" si="1"/>
      </c>
      <c r="V32" s="28">
        <f t="shared" si="1"/>
      </c>
      <c r="W32" s="28">
        <f t="shared" si="1"/>
      </c>
      <c r="X32" s="28">
        <f t="shared" si="1"/>
      </c>
      <c r="Y32" s="28">
        <f t="shared" si="1"/>
      </c>
      <c r="Z32" s="28">
        <f t="shared" si="1"/>
      </c>
      <c r="AA32" s="28">
        <f t="shared" si="1"/>
      </c>
      <c r="AB32" s="28">
        <f t="shared" si="1"/>
      </c>
      <c r="AC32" s="28">
        <f t="shared" si="1"/>
      </c>
      <c r="AD32" s="28">
        <f t="shared" si="1"/>
      </c>
      <c r="AE32" s="28">
        <f t="shared" si="1"/>
      </c>
      <c r="AF32" s="28">
        <f t="shared" si="1"/>
      </c>
      <c r="AG32" s="28">
        <f t="shared" si="1"/>
      </c>
      <c r="AH32" s="28">
        <f t="shared" si="1"/>
      </c>
      <c r="AI32" s="28">
        <f t="shared" si="1"/>
      </c>
      <c r="AJ32" s="28">
        <f t="shared" si="1"/>
      </c>
      <c r="AK32" s="28">
        <f t="shared" si="1"/>
      </c>
      <c r="AL32" s="28">
        <f t="shared" si="1"/>
      </c>
      <c r="AM32" s="28">
        <f t="shared" si="1"/>
      </c>
      <c r="AN32" s="28">
        <f t="shared" si="1"/>
      </c>
      <c r="AO32" s="28">
        <f t="shared" si="1"/>
      </c>
      <c r="AP32" s="28">
        <f t="shared" si="1"/>
      </c>
      <c r="AQ32" s="28">
        <f t="shared" si="1"/>
      </c>
      <c r="AR32" s="28">
        <f t="shared" si="1"/>
      </c>
      <c r="AS32" s="28">
        <f t="shared" si="1"/>
      </c>
      <c r="AT32" s="28">
        <f t="shared" si="1"/>
      </c>
      <c r="AU32" s="28">
        <f t="shared" si="1"/>
      </c>
      <c r="AV32" s="28">
        <f t="shared" si="1"/>
      </c>
      <c r="AW32" s="28">
        <f t="shared" si="1"/>
      </c>
      <c r="AX32" s="28">
        <f t="shared" si="1"/>
      </c>
      <c r="AY32" s="28">
        <f t="shared" si="1"/>
      </c>
      <c r="AZ32" s="28">
        <f t="shared" si="1"/>
      </c>
      <c r="BA32" s="28">
        <f t="shared" si="1"/>
      </c>
      <c r="BB32" s="28">
        <f t="shared" si="1"/>
      </c>
    </row>
    <row r="33" spans="1:54" ht="19.5" thickBot="1">
      <c r="A33" s="25" t="s">
        <v>9</v>
      </c>
      <c r="B33" s="20" t="s">
        <v>17</v>
      </c>
      <c r="C33" s="15">
        <f>SUM(D33:BB33)</f>
        <v>37782.83813856545</v>
      </c>
      <c r="D33" s="26">
        <f>D34*D30</f>
        <v>350.03336</v>
      </c>
      <c r="E33" s="26">
        <f aca="true" t="shared" si="2" ref="E33:BB33">E34*E30</f>
        <v>6657.230283351804</v>
      </c>
      <c r="F33" s="26">
        <f t="shared" si="2"/>
        <v>6164.102114214633</v>
      </c>
      <c r="G33" s="26">
        <f t="shared" si="2"/>
        <v>5707.501957606141</v>
      </c>
      <c r="H33" s="26">
        <f t="shared" si="2"/>
        <v>5284.7240348205005</v>
      </c>
      <c r="I33" s="26">
        <f t="shared" si="2"/>
        <v>4893.262995204167</v>
      </c>
      <c r="J33" s="26">
        <f t="shared" si="2"/>
        <v>4530.799069633488</v>
      </c>
      <c r="K33" s="26">
        <f t="shared" si="2"/>
        <v>4195.184323734711</v>
      </c>
      <c r="L33" s="26">
        <f t="shared" si="2"/>
        <v>0</v>
      </c>
      <c r="M33" s="26">
        <f t="shared" si="2"/>
        <v>0</v>
      </c>
      <c r="N33" s="26">
        <f t="shared" si="2"/>
        <v>0</v>
      </c>
      <c r="O33" s="26">
        <f t="shared" si="2"/>
        <v>0</v>
      </c>
      <c r="P33" s="26">
        <f t="shared" si="2"/>
        <v>0</v>
      </c>
      <c r="Q33" s="26">
        <f t="shared" si="2"/>
        <v>0</v>
      </c>
      <c r="R33" s="26">
        <f t="shared" si="2"/>
        <v>0</v>
      </c>
      <c r="S33" s="26">
        <f t="shared" si="2"/>
        <v>0</v>
      </c>
      <c r="T33" s="26">
        <f t="shared" si="2"/>
        <v>0</v>
      </c>
      <c r="U33" s="26">
        <f t="shared" si="2"/>
        <v>0</v>
      </c>
      <c r="V33" s="26">
        <f t="shared" si="2"/>
        <v>0</v>
      </c>
      <c r="W33" s="26">
        <f t="shared" si="2"/>
        <v>0</v>
      </c>
      <c r="X33" s="26">
        <f t="shared" si="2"/>
        <v>0</v>
      </c>
      <c r="Y33" s="26">
        <f t="shared" si="2"/>
        <v>0</v>
      </c>
      <c r="Z33" s="26">
        <f t="shared" si="2"/>
        <v>0</v>
      </c>
      <c r="AA33" s="26">
        <f t="shared" si="2"/>
        <v>0</v>
      </c>
      <c r="AB33" s="26">
        <f t="shared" si="2"/>
        <v>0</v>
      </c>
      <c r="AC33" s="26">
        <f t="shared" si="2"/>
        <v>0</v>
      </c>
      <c r="AD33" s="26">
        <f t="shared" si="2"/>
        <v>0</v>
      </c>
      <c r="AE33" s="26">
        <f t="shared" si="2"/>
        <v>0</v>
      </c>
      <c r="AF33" s="26">
        <f t="shared" si="2"/>
        <v>0</v>
      </c>
      <c r="AG33" s="26">
        <f t="shared" si="2"/>
        <v>0</v>
      </c>
      <c r="AH33" s="26">
        <f t="shared" si="2"/>
        <v>0</v>
      </c>
      <c r="AI33" s="26">
        <f t="shared" si="2"/>
        <v>0</v>
      </c>
      <c r="AJ33" s="26">
        <f t="shared" si="2"/>
        <v>0</v>
      </c>
      <c r="AK33" s="26">
        <f t="shared" si="2"/>
        <v>0</v>
      </c>
      <c r="AL33" s="26">
        <f t="shared" si="2"/>
        <v>0</v>
      </c>
      <c r="AM33" s="26">
        <f t="shared" si="2"/>
        <v>0</v>
      </c>
      <c r="AN33" s="26">
        <f t="shared" si="2"/>
        <v>0</v>
      </c>
      <c r="AO33" s="26">
        <f t="shared" si="2"/>
        <v>0</v>
      </c>
      <c r="AP33" s="26">
        <f t="shared" si="2"/>
        <v>0</v>
      </c>
      <c r="AQ33" s="26">
        <f t="shared" si="2"/>
        <v>0</v>
      </c>
      <c r="AR33" s="26">
        <f t="shared" si="2"/>
        <v>0</v>
      </c>
      <c r="AS33" s="26">
        <f t="shared" si="2"/>
        <v>0</v>
      </c>
      <c r="AT33" s="26">
        <f t="shared" si="2"/>
        <v>0</v>
      </c>
      <c r="AU33" s="26">
        <f t="shared" si="2"/>
        <v>0</v>
      </c>
      <c r="AV33" s="26">
        <f t="shared" si="2"/>
        <v>0</v>
      </c>
      <c r="AW33" s="26">
        <f t="shared" si="2"/>
        <v>0</v>
      </c>
      <c r="AX33" s="26">
        <f t="shared" si="2"/>
        <v>0</v>
      </c>
      <c r="AY33" s="26">
        <f t="shared" si="2"/>
        <v>0</v>
      </c>
      <c r="AZ33" s="26">
        <f t="shared" si="2"/>
        <v>0</v>
      </c>
      <c r="BA33" s="26">
        <f t="shared" si="2"/>
        <v>0</v>
      </c>
      <c r="BB33" s="26">
        <f t="shared" si="2"/>
        <v>0</v>
      </c>
    </row>
    <row r="34" spans="1:54" ht="14.25" customHeight="1" thickBot="1">
      <c r="A34" s="29" t="s">
        <v>24</v>
      </c>
      <c r="B34" s="27" t="s">
        <v>17</v>
      </c>
      <c r="C34" s="15">
        <f>SUM(D34:BB34)</f>
        <v>50678.694302139644</v>
      </c>
      <c r="D34" s="50">
        <f>D36+D37+D42+D48+D49</f>
        <v>350.03336</v>
      </c>
      <c r="E34" s="50">
        <f aca="true" t="shared" si="3" ref="E34:K34">E36+E37+E42+E48+E49</f>
        <v>7189.80870601995</v>
      </c>
      <c r="F34" s="50">
        <f t="shared" si="3"/>
        <v>7189.80870601995</v>
      </c>
      <c r="G34" s="50">
        <f t="shared" si="3"/>
        <v>7189.80870601995</v>
      </c>
      <c r="H34" s="50">
        <f t="shared" si="3"/>
        <v>7189.80870601995</v>
      </c>
      <c r="I34" s="50">
        <f t="shared" si="3"/>
        <v>7189.80870601995</v>
      </c>
      <c r="J34" s="50">
        <f t="shared" si="3"/>
        <v>7189.80870601995</v>
      </c>
      <c r="K34" s="50">
        <f t="shared" si="3"/>
        <v>7189.80870601995</v>
      </c>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 ht="12.75">
      <c r="A35" s="12" t="s">
        <v>10</v>
      </c>
      <c r="C35" s="8"/>
    </row>
    <row r="36" spans="1:3" ht="12.75">
      <c r="A36" s="42" t="s">
        <v>72</v>
      </c>
      <c r="B36" s="43" t="s">
        <v>30</v>
      </c>
      <c r="C36" s="44">
        <f>E9</f>
        <v>30</v>
      </c>
    </row>
    <row r="37" spans="1:3" ht="12.75">
      <c r="A37" s="42" t="s">
        <v>29</v>
      </c>
      <c r="B37" s="43" t="s">
        <v>30</v>
      </c>
      <c r="C37" s="44">
        <f>E10</f>
        <v>100</v>
      </c>
    </row>
    <row r="38" ht="12.75">
      <c r="C38" s="8"/>
    </row>
    <row r="39" ht="12.75">
      <c r="A39" s="12" t="s">
        <v>11</v>
      </c>
    </row>
    <row r="40" spans="1:3" ht="12.75">
      <c r="A40" s="45" t="s">
        <v>19</v>
      </c>
      <c r="B40" s="46" t="s">
        <v>6</v>
      </c>
      <c r="C40" s="45">
        <v>40</v>
      </c>
    </row>
    <row r="41" spans="1:3" ht="12.75">
      <c r="A41" s="45" t="s">
        <v>68</v>
      </c>
      <c r="B41" s="46" t="s">
        <v>30</v>
      </c>
      <c r="C41" s="45">
        <f>E19</f>
        <v>80</v>
      </c>
    </row>
    <row r="42" spans="1:4" ht="12.75">
      <c r="A42" s="45" t="s">
        <v>75</v>
      </c>
      <c r="B42" s="46" t="s">
        <v>30</v>
      </c>
      <c r="C42" s="48">
        <f>C41*C44</f>
        <v>45.01668078378427</v>
      </c>
      <c r="D42" s="49"/>
    </row>
    <row r="43" spans="1:3" ht="12.75">
      <c r="A43" s="10" t="s">
        <v>20</v>
      </c>
      <c r="B43" s="7" t="s">
        <v>17</v>
      </c>
      <c r="C43" s="23"/>
    </row>
    <row r="44" spans="1:3" ht="14.25" customHeight="1">
      <c r="A44" s="22" t="s">
        <v>23</v>
      </c>
      <c r="B44" s="21"/>
      <c r="C44" s="16">
        <f>(1-POWER(1+C30/100,-C29))/(1-POWER(1+C30/100,-C40))</f>
        <v>0.5627085097973034</v>
      </c>
    </row>
    <row r="45" spans="1:3" ht="12.75">
      <c r="A45" s="9"/>
      <c r="B45" s="7"/>
      <c r="C45" s="11"/>
    </row>
    <row r="46" spans="1:3" ht="12.75">
      <c r="A46" s="13" t="s">
        <v>12</v>
      </c>
      <c r="C46" s="11"/>
    </row>
    <row r="47" spans="1:11" ht="12.75">
      <c r="A47" s="59" t="s">
        <v>81</v>
      </c>
      <c r="B47" s="60" t="s">
        <v>17</v>
      </c>
      <c r="C47" s="62">
        <f>'4 FinPlanas'!C47</f>
        <v>35003.336</v>
      </c>
      <c r="D47" s="57"/>
      <c r="E47" s="57"/>
      <c r="F47" s="57"/>
      <c r="G47" s="57"/>
      <c r="H47" s="57"/>
      <c r="I47" s="57"/>
      <c r="J47" s="57"/>
      <c r="K47" s="57"/>
    </row>
    <row r="48" spans="1:11" ht="12.75">
      <c r="A48" s="59" t="s">
        <v>84</v>
      </c>
      <c r="B48" s="60" t="s">
        <v>17</v>
      </c>
      <c r="C48" s="62">
        <f>SUM(E48:K48)</f>
        <v>50328.66094213964</v>
      </c>
      <c r="D48" s="57"/>
      <c r="E48" s="58">
        <v>7189.80870601995</v>
      </c>
      <c r="F48" s="58">
        <v>7189.80870601995</v>
      </c>
      <c r="G48" s="58">
        <v>7189.80870601995</v>
      </c>
      <c r="H48" s="58">
        <v>7189.80870601995</v>
      </c>
      <c r="I48" s="58">
        <v>7189.80870601995</v>
      </c>
      <c r="J48" s="58">
        <v>7189.80870601995</v>
      </c>
      <c r="K48" s="58">
        <v>7189.80870601995</v>
      </c>
    </row>
    <row r="49" spans="1:11" ht="12.75" customHeight="1">
      <c r="A49" s="63" t="s">
        <v>82</v>
      </c>
      <c r="B49" s="60" t="s">
        <v>17</v>
      </c>
      <c r="C49" s="61"/>
      <c r="D49" s="57">
        <f>C47*0.01</f>
        <v>350.03336</v>
      </c>
      <c r="E49" s="57"/>
      <c r="F49" s="57"/>
      <c r="G49" s="57"/>
      <c r="H49" s="57"/>
      <c r="I49" s="57"/>
      <c r="J49" s="57"/>
      <c r="K49" s="57"/>
    </row>
    <row r="50" spans="1:3" ht="12.75">
      <c r="A50" s="9"/>
      <c r="C50" s="11"/>
    </row>
    <row r="51" spans="4:54" ht="15" thickBot="1">
      <c r="D51" s="28" t="s">
        <v>5</v>
      </c>
      <c r="E51" s="28">
        <f>E32</f>
        <v>1</v>
      </c>
      <c r="F51" s="28">
        <f aca="true" t="shared" si="4" ref="F51:BB51">F32</f>
        <v>2</v>
      </c>
      <c r="G51" s="28">
        <f t="shared" si="4"/>
        <v>3</v>
      </c>
      <c r="H51" s="28">
        <f t="shared" si="4"/>
        <v>4</v>
      </c>
      <c r="I51" s="28">
        <f t="shared" si="4"/>
        <v>5</v>
      </c>
      <c r="J51" s="28">
        <f t="shared" si="4"/>
        <v>6</v>
      </c>
      <c r="K51" s="28">
        <f t="shared" si="4"/>
        <v>7</v>
      </c>
      <c r="L51" s="28">
        <f t="shared" si="4"/>
        <v>8</v>
      </c>
      <c r="M51" s="28">
        <f t="shared" si="4"/>
        <v>9</v>
      </c>
      <c r="N51" s="28">
        <f t="shared" si="4"/>
        <v>10</v>
      </c>
      <c r="O51" s="28">
        <f t="shared" si="4"/>
      </c>
      <c r="P51" s="28">
        <f t="shared" si="4"/>
      </c>
      <c r="Q51" s="28">
        <f t="shared" si="4"/>
      </c>
      <c r="R51" s="28">
        <f t="shared" si="4"/>
      </c>
      <c r="S51" s="28">
        <f t="shared" si="4"/>
      </c>
      <c r="T51" s="28">
        <f t="shared" si="4"/>
      </c>
      <c r="U51" s="28">
        <f t="shared" si="4"/>
      </c>
      <c r="V51" s="28">
        <f t="shared" si="4"/>
      </c>
      <c r="W51" s="28">
        <f t="shared" si="4"/>
      </c>
      <c r="X51" s="28">
        <f t="shared" si="4"/>
      </c>
      <c r="Y51" s="28">
        <f t="shared" si="4"/>
      </c>
      <c r="Z51" s="28">
        <f t="shared" si="4"/>
      </c>
      <c r="AA51" s="28">
        <f t="shared" si="4"/>
      </c>
      <c r="AB51" s="28">
        <f t="shared" si="4"/>
      </c>
      <c r="AC51" s="28">
        <f t="shared" si="4"/>
      </c>
      <c r="AD51" s="28">
        <f t="shared" si="4"/>
      </c>
      <c r="AE51" s="28">
        <f t="shared" si="4"/>
      </c>
      <c r="AF51" s="28">
        <f t="shared" si="4"/>
      </c>
      <c r="AG51" s="28">
        <f t="shared" si="4"/>
      </c>
      <c r="AH51" s="28">
        <f t="shared" si="4"/>
      </c>
      <c r="AI51" s="28">
        <f t="shared" si="4"/>
      </c>
      <c r="AJ51" s="28">
        <f t="shared" si="4"/>
      </c>
      <c r="AK51" s="28">
        <f t="shared" si="4"/>
      </c>
      <c r="AL51" s="28">
        <f t="shared" si="4"/>
      </c>
      <c r="AM51" s="28">
        <f t="shared" si="4"/>
      </c>
      <c r="AN51" s="28">
        <f t="shared" si="4"/>
      </c>
      <c r="AO51" s="28">
        <f t="shared" si="4"/>
      </c>
      <c r="AP51" s="28">
        <f t="shared" si="4"/>
      </c>
      <c r="AQ51" s="28">
        <f t="shared" si="4"/>
      </c>
      <c r="AR51" s="28">
        <f t="shared" si="4"/>
      </c>
      <c r="AS51" s="28">
        <f t="shared" si="4"/>
      </c>
      <c r="AT51" s="28">
        <f t="shared" si="4"/>
      </c>
      <c r="AU51" s="28">
        <f t="shared" si="4"/>
      </c>
      <c r="AV51" s="28">
        <f t="shared" si="4"/>
      </c>
      <c r="AW51" s="28">
        <f t="shared" si="4"/>
      </c>
      <c r="AX51" s="28">
        <f t="shared" si="4"/>
      </c>
      <c r="AY51" s="28">
        <f t="shared" si="4"/>
      </c>
      <c r="AZ51" s="28">
        <f t="shared" si="4"/>
      </c>
      <c r="BA51" s="28">
        <f t="shared" si="4"/>
      </c>
      <c r="BB51" s="28">
        <f t="shared" si="4"/>
      </c>
    </row>
    <row r="52" spans="1:54" ht="19.5" thickBot="1">
      <c r="A52" s="25" t="s">
        <v>15</v>
      </c>
      <c r="B52" s="21" t="s">
        <v>17</v>
      </c>
      <c r="C52" s="15">
        <f>SUM(E52:BB52)</f>
        <v>73635.24220656948</v>
      </c>
      <c r="D52" s="1"/>
      <c r="E52" s="26">
        <f aca="true" t="shared" si="5" ref="E52:AJ52">E53*E30</f>
        <v>10160.946755676261</v>
      </c>
      <c r="F52" s="26">
        <f t="shared" si="5"/>
        <v>9408.284033033575</v>
      </c>
      <c r="G52" s="26">
        <f t="shared" si="5"/>
        <v>8711.374104660717</v>
      </c>
      <c r="H52" s="26">
        <f t="shared" si="5"/>
        <v>8066.087133945108</v>
      </c>
      <c r="I52" s="26">
        <f t="shared" si="5"/>
        <v>7468.599198097322</v>
      </c>
      <c r="J52" s="26">
        <f t="shared" si="5"/>
        <v>6915.36962786789</v>
      </c>
      <c r="K52" s="26">
        <f t="shared" si="5"/>
        <v>6403.1200258036015</v>
      </c>
      <c r="L52" s="26">
        <f t="shared" si="5"/>
        <v>5928.814838707038</v>
      </c>
      <c r="M52" s="26">
        <f t="shared" si="5"/>
        <v>5489.643369173182</v>
      </c>
      <c r="N52" s="26">
        <f t="shared" si="5"/>
        <v>5083.003119604798</v>
      </c>
      <c r="O52" s="26">
        <f t="shared" si="5"/>
        <v>0</v>
      </c>
      <c r="P52" s="26">
        <f t="shared" si="5"/>
        <v>0</v>
      </c>
      <c r="Q52" s="26">
        <f t="shared" si="5"/>
        <v>0</v>
      </c>
      <c r="R52" s="26">
        <f t="shared" si="5"/>
        <v>0</v>
      </c>
      <c r="S52" s="26">
        <f t="shared" si="5"/>
        <v>0</v>
      </c>
      <c r="T52" s="26">
        <f t="shared" si="5"/>
        <v>0</v>
      </c>
      <c r="U52" s="26">
        <f t="shared" si="5"/>
        <v>0</v>
      </c>
      <c r="V52" s="26">
        <f t="shared" si="5"/>
        <v>0</v>
      </c>
      <c r="W52" s="26">
        <f t="shared" si="5"/>
        <v>0</v>
      </c>
      <c r="X52" s="26">
        <f t="shared" si="5"/>
        <v>0</v>
      </c>
      <c r="Y52" s="26">
        <f t="shared" si="5"/>
        <v>0</v>
      </c>
      <c r="Z52" s="26">
        <f t="shared" si="5"/>
        <v>0</v>
      </c>
      <c r="AA52" s="26">
        <f t="shared" si="5"/>
        <v>0</v>
      </c>
      <c r="AB52" s="26">
        <f t="shared" si="5"/>
        <v>0</v>
      </c>
      <c r="AC52" s="26">
        <f t="shared" si="5"/>
        <v>0</v>
      </c>
      <c r="AD52" s="26">
        <f t="shared" si="5"/>
        <v>0</v>
      </c>
      <c r="AE52" s="26">
        <f t="shared" si="5"/>
        <v>0</v>
      </c>
      <c r="AF52" s="26">
        <f t="shared" si="5"/>
        <v>0</v>
      </c>
      <c r="AG52" s="26">
        <f t="shared" si="5"/>
        <v>0</v>
      </c>
      <c r="AH52" s="26">
        <f t="shared" si="5"/>
        <v>0</v>
      </c>
      <c r="AI52" s="26">
        <f t="shared" si="5"/>
        <v>0</v>
      </c>
      <c r="AJ52" s="26">
        <f t="shared" si="5"/>
        <v>0</v>
      </c>
      <c r="AK52" s="26">
        <f aca="true" t="shared" si="6" ref="AK52:BB52">AK53*AK30</f>
        <v>0</v>
      </c>
      <c r="AL52" s="26">
        <f t="shared" si="6"/>
        <v>0</v>
      </c>
      <c r="AM52" s="26">
        <f t="shared" si="6"/>
        <v>0</v>
      </c>
      <c r="AN52" s="26">
        <f t="shared" si="6"/>
        <v>0</v>
      </c>
      <c r="AO52" s="26">
        <f t="shared" si="6"/>
        <v>0</v>
      </c>
      <c r="AP52" s="26">
        <f t="shared" si="6"/>
        <v>0</v>
      </c>
      <c r="AQ52" s="26">
        <f t="shared" si="6"/>
        <v>0</v>
      </c>
      <c r="AR52" s="26">
        <f t="shared" si="6"/>
        <v>0</v>
      </c>
      <c r="AS52" s="26">
        <f t="shared" si="6"/>
        <v>0</v>
      </c>
      <c r="AT52" s="26">
        <f t="shared" si="6"/>
        <v>0</v>
      </c>
      <c r="AU52" s="26">
        <f t="shared" si="6"/>
        <v>0</v>
      </c>
      <c r="AV52" s="26">
        <f t="shared" si="6"/>
        <v>0</v>
      </c>
      <c r="AW52" s="26">
        <f t="shared" si="6"/>
        <v>0</v>
      </c>
      <c r="AX52" s="26">
        <f t="shared" si="6"/>
        <v>0</v>
      </c>
      <c r="AY52" s="26">
        <f t="shared" si="6"/>
        <v>0</v>
      </c>
      <c r="AZ52" s="26">
        <f t="shared" si="6"/>
        <v>0</v>
      </c>
      <c r="BA52" s="26">
        <f t="shared" si="6"/>
        <v>0</v>
      </c>
      <c r="BB52" s="26">
        <f t="shared" si="6"/>
        <v>0</v>
      </c>
    </row>
    <row r="53" spans="1:54" ht="15.75" thickBot="1">
      <c r="A53" s="29" t="s">
        <v>25</v>
      </c>
      <c r="B53" s="7" t="s">
        <v>17</v>
      </c>
      <c r="C53" s="15">
        <f>SUM(E53:BB53)</f>
        <v>109738.22496130364</v>
      </c>
      <c r="E53" s="30">
        <f>E58+E62+E65-E71</f>
        <v>10973.822496130364</v>
      </c>
      <c r="F53" s="30">
        <f aca="true" t="shared" si="7" ref="F53:N53">F58+F62+F65-F71</f>
        <v>10973.822496130364</v>
      </c>
      <c r="G53" s="30">
        <f t="shared" si="7"/>
        <v>10973.822496130364</v>
      </c>
      <c r="H53" s="30">
        <f t="shared" si="7"/>
        <v>10973.822496130364</v>
      </c>
      <c r="I53" s="30">
        <f t="shared" si="7"/>
        <v>10973.822496130364</v>
      </c>
      <c r="J53" s="30">
        <f t="shared" si="7"/>
        <v>10973.822496130364</v>
      </c>
      <c r="K53" s="30">
        <f t="shared" si="7"/>
        <v>10973.822496130364</v>
      </c>
      <c r="L53" s="30">
        <f t="shared" si="7"/>
        <v>10973.822496130364</v>
      </c>
      <c r="M53" s="30">
        <f t="shared" si="7"/>
        <v>10973.822496130364</v>
      </c>
      <c r="N53" s="30">
        <f t="shared" si="7"/>
        <v>10973.822496130364</v>
      </c>
      <c r="O53" s="30">
        <f aca="true" t="shared" si="8" ref="O53:X53">O58+O62+O65-O71</f>
        <v>0</v>
      </c>
      <c r="P53" s="30">
        <f t="shared" si="8"/>
        <v>0</v>
      </c>
      <c r="Q53" s="30">
        <f t="shared" si="8"/>
        <v>0</v>
      </c>
      <c r="R53" s="30">
        <f t="shared" si="8"/>
        <v>0</v>
      </c>
      <c r="S53" s="30">
        <f t="shared" si="8"/>
        <v>0</v>
      </c>
      <c r="T53" s="30">
        <f t="shared" si="8"/>
        <v>0</v>
      </c>
      <c r="U53" s="30">
        <f t="shared" si="8"/>
        <v>0</v>
      </c>
      <c r="V53" s="30">
        <f t="shared" si="8"/>
        <v>0</v>
      </c>
      <c r="W53" s="30">
        <f t="shared" si="8"/>
        <v>0</v>
      </c>
      <c r="X53" s="30">
        <f t="shared" si="8"/>
        <v>0</v>
      </c>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row>
    <row r="54" ht="12.75">
      <c r="A54" s="12" t="s">
        <v>13</v>
      </c>
    </row>
    <row r="55" spans="1:3" ht="12.75">
      <c r="A55" s="42" t="s">
        <v>46</v>
      </c>
      <c r="B55" s="46" t="s">
        <v>48</v>
      </c>
      <c r="C55" s="45">
        <f>E8*E17*24/1000</f>
        <v>624.96</v>
      </c>
    </row>
    <row r="56" spans="1:3" ht="12.75">
      <c r="A56" s="42" t="s">
        <v>47</v>
      </c>
      <c r="B56" s="46" t="s">
        <v>48</v>
      </c>
      <c r="C56" s="45">
        <f>E8/2*E18*24/1000</f>
        <v>300.72</v>
      </c>
    </row>
    <row r="57" spans="1:3" ht="12.75">
      <c r="A57" s="42" t="s">
        <v>51</v>
      </c>
      <c r="B57" s="46" t="s">
        <v>53</v>
      </c>
      <c r="C57" s="47">
        <f>(C55/(E14/100)+C56/(E15/100))*859845/E12/1000</f>
        <v>489.6991185324554</v>
      </c>
    </row>
    <row r="58" spans="1:14" ht="12.75">
      <c r="A58" s="42" t="s">
        <v>54</v>
      </c>
      <c r="B58" s="46" t="s">
        <v>55</v>
      </c>
      <c r="C58" s="47">
        <f>C57*E11</f>
        <v>122.42477963311384</v>
      </c>
      <c r="E58">
        <f>C58*1000</f>
        <v>122424.77963311384</v>
      </c>
      <c r="F58">
        <f aca="true" t="shared" si="9" ref="F58:N58">E58</f>
        <v>122424.77963311384</v>
      </c>
      <c r="G58">
        <f t="shared" si="9"/>
        <v>122424.77963311384</v>
      </c>
      <c r="H58">
        <f t="shared" si="9"/>
        <v>122424.77963311384</v>
      </c>
      <c r="I58">
        <f t="shared" si="9"/>
        <v>122424.77963311384</v>
      </c>
      <c r="J58">
        <f t="shared" si="9"/>
        <v>122424.77963311384</v>
      </c>
      <c r="K58">
        <f t="shared" si="9"/>
        <v>122424.77963311384</v>
      </c>
      <c r="L58">
        <f t="shared" si="9"/>
        <v>122424.77963311384</v>
      </c>
      <c r="M58">
        <f t="shared" si="9"/>
        <v>122424.77963311384</v>
      </c>
      <c r="N58">
        <f t="shared" si="9"/>
        <v>122424.77963311384</v>
      </c>
    </row>
    <row r="59" ht="12.75">
      <c r="A59" s="12"/>
    </row>
    <row r="60" ht="12.75">
      <c r="A60" s="12" t="s">
        <v>14</v>
      </c>
    </row>
    <row r="61" spans="1:3" ht="12.75">
      <c r="A61" s="42" t="s">
        <v>58</v>
      </c>
      <c r="B61" s="46" t="s">
        <v>59</v>
      </c>
      <c r="C61" s="45">
        <f>E22*365*24</f>
        <v>17520</v>
      </c>
    </row>
    <row r="62" spans="1:14" ht="12.75">
      <c r="A62" s="42" t="s">
        <v>60</v>
      </c>
      <c r="B62" s="46" t="s">
        <v>61</v>
      </c>
      <c r="C62" s="45">
        <f>C61*E23/100</f>
        <v>6377.28</v>
      </c>
      <c r="E62">
        <f>C62</f>
        <v>6377.28</v>
      </c>
      <c r="F62">
        <f aca="true" t="shared" si="10" ref="F62:N62">E62</f>
        <v>6377.28</v>
      </c>
      <c r="G62">
        <f t="shared" si="10"/>
        <v>6377.28</v>
      </c>
      <c r="H62">
        <f t="shared" si="10"/>
        <v>6377.28</v>
      </c>
      <c r="I62">
        <f t="shared" si="10"/>
        <v>6377.28</v>
      </c>
      <c r="J62">
        <f t="shared" si="10"/>
        <v>6377.28</v>
      </c>
      <c r="K62">
        <f t="shared" si="10"/>
        <v>6377.28</v>
      </c>
      <c r="L62">
        <f t="shared" si="10"/>
        <v>6377.28</v>
      </c>
      <c r="M62">
        <f t="shared" si="10"/>
        <v>6377.28</v>
      </c>
      <c r="N62">
        <f t="shared" si="10"/>
        <v>6377.28</v>
      </c>
    </row>
    <row r="63" ht="12.75">
      <c r="B63" s="7"/>
    </row>
    <row r="64" spans="1:2" ht="12.75">
      <c r="A64" s="12" t="s">
        <v>18</v>
      </c>
      <c r="B64" s="7"/>
    </row>
    <row r="65" spans="1:14" ht="12.75">
      <c r="A65" s="42" t="s">
        <v>62</v>
      </c>
      <c r="B65" s="46" t="s">
        <v>61</v>
      </c>
      <c r="C65" s="45">
        <f>E24*1.34*12</f>
        <v>28944</v>
      </c>
      <c r="E65">
        <f>C65</f>
        <v>28944</v>
      </c>
      <c r="F65">
        <f aca="true" t="shared" si="11" ref="F65:N65">E65</f>
        <v>28944</v>
      </c>
      <c r="G65">
        <f t="shared" si="11"/>
        <v>28944</v>
      </c>
      <c r="H65">
        <f t="shared" si="11"/>
        <v>28944</v>
      </c>
      <c r="I65">
        <f t="shared" si="11"/>
        <v>28944</v>
      </c>
      <c r="J65">
        <f t="shared" si="11"/>
        <v>28944</v>
      </c>
      <c r="K65">
        <f t="shared" si="11"/>
        <v>28944</v>
      </c>
      <c r="L65">
        <f t="shared" si="11"/>
        <v>28944</v>
      </c>
      <c r="M65">
        <f t="shared" si="11"/>
        <v>28944</v>
      </c>
      <c r="N65">
        <f t="shared" si="11"/>
        <v>28944</v>
      </c>
    </row>
    <row r="66" ht="12.75">
      <c r="B66" s="7"/>
    </row>
    <row r="67" spans="1:2" ht="12.75">
      <c r="A67" s="12" t="s">
        <v>16</v>
      </c>
      <c r="B67" s="7"/>
    </row>
    <row r="68" spans="1:2" ht="12.75">
      <c r="A68" s="5"/>
      <c r="B68" s="7"/>
    </row>
    <row r="69" spans="1:2" ht="12.75">
      <c r="A69" s="52" t="s">
        <v>65</v>
      </c>
      <c r="B69" s="7"/>
    </row>
    <row r="70" spans="1:3" ht="12.75">
      <c r="A70" s="42" t="s">
        <v>66</v>
      </c>
      <c r="B70" s="46" t="s">
        <v>53</v>
      </c>
      <c r="C70" s="48">
        <f>(C55+C56)/(E20/100)*859845/E21/1000</f>
        <v>82.2253429338843</v>
      </c>
    </row>
    <row r="71" spans="1:14" ht="12.75">
      <c r="A71" s="42" t="s">
        <v>67</v>
      </c>
      <c r="B71" s="46" t="s">
        <v>55</v>
      </c>
      <c r="C71" s="48">
        <f>C70*E16/1000</f>
        <v>146.77223713698348</v>
      </c>
      <c r="E71">
        <f>C71*1000</f>
        <v>146772.2371369835</v>
      </c>
      <c r="F71">
        <f aca="true" t="shared" si="12" ref="F71:N71">E71</f>
        <v>146772.2371369835</v>
      </c>
      <c r="G71">
        <f t="shared" si="12"/>
        <v>146772.2371369835</v>
      </c>
      <c r="H71">
        <f t="shared" si="12"/>
        <v>146772.2371369835</v>
      </c>
      <c r="I71">
        <f t="shared" si="12"/>
        <v>146772.2371369835</v>
      </c>
      <c r="J71">
        <f t="shared" si="12"/>
        <v>146772.2371369835</v>
      </c>
      <c r="K71">
        <f t="shared" si="12"/>
        <v>146772.2371369835</v>
      </c>
      <c r="L71">
        <f t="shared" si="12"/>
        <v>146772.2371369835</v>
      </c>
      <c r="M71">
        <f t="shared" si="12"/>
        <v>146772.2371369835</v>
      </c>
      <c r="N71">
        <f t="shared" si="12"/>
        <v>146772.2371369835</v>
      </c>
    </row>
    <row r="72" ht="12.75">
      <c r="A72" s="5"/>
    </row>
    <row r="73" ht="13.5" thickBot="1"/>
    <row r="74" spans="1:3" ht="15.75" thickBot="1">
      <c r="A74" s="19" t="s">
        <v>74</v>
      </c>
      <c r="B74" s="17" t="s">
        <v>7</v>
      </c>
      <c r="C74" s="15">
        <f>(C55+C56)*1000</f>
        <v>925680.0000000001</v>
      </c>
    </row>
    <row r="75" spans="1:3" ht="12.75">
      <c r="A75" s="6"/>
      <c r="B75" s="7"/>
      <c r="C75" s="2"/>
    </row>
    <row r="76" ht="13.5" thickBot="1"/>
    <row r="77" spans="1:3" ht="33" thickBot="1" thickTop="1">
      <c r="A77" s="54" t="s">
        <v>73</v>
      </c>
      <c r="B77" s="37" t="s">
        <v>8</v>
      </c>
      <c r="C77" s="64">
        <f>IF(C74&gt;0,C32*100/C74*C30/100/(1-POWER(1+C30/100,-C29)),"")</f>
        <v>1.7937710164900524</v>
      </c>
    </row>
    <row r="78" ht="13.5" thickTop="1"/>
  </sheetData>
  <sheetProtection/>
  <mergeCells count="23">
    <mergeCell ref="A2:D2"/>
    <mergeCell ref="A1:D1"/>
    <mergeCell ref="A6:I6"/>
    <mergeCell ref="A7:C7"/>
    <mergeCell ref="A8:C8"/>
    <mergeCell ref="A17:C17"/>
    <mergeCell ref="A18:C18"/>
    <mergeCell ref="A9:C9"/>
    <mergeCell ref="A10:C10"/>
    <mergeCell ref="A11:C11"/>
    <mergeCell ref="A13:C13"/>
    <mergeCell ref="A16:C16"/>
    <mergeCell ref="A12:C12"/>
    <mergeCell ref="A14:C14"/>
    <mergeCell ref="A15:C15"/>
    <mergeCell ref="A20:C20"/>
    <mergeCell ref="A24:C24"/>
    <mergeCell ref="A25:C25"/>
    <mergeCell ref="A26:C26"/>
    <mergeCell ref="A19:C19"/>
    <mergeCell ref="A21:C21"/>
    <mergeCell ref="A22:C22"/>
    <mergeCell ref="A23:C23"/>
  </mergeCells>
  <printOptions gridLines="1"/>
  <pageMargins left="1.26" right="0.37" top="0.68" bottom="0.63" header="0.5" footer="0.5"/>
  <pageSetup fitToHeight="1" fitToWidth="1" horizontalDpi="200" verticalDpi="200" orientation="portrait"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dc:creator>
  <cp:keywords/>
  <dc:description/>
  <cp:lastModifiedBy>Vilma Kavaliova</cp:lastModifiedBy>
  <cp:lastPrinted>2011-06-26T22:01:09Z</cp:lastPrinted>
  <dcterms:created xsi:type="dcterms:W3CDTF">2011-01-13T11:46:47Z</dcterms:created>
  <dcterms:modified xsi:type="dcterms:W3CDTF">2021-12-30T07:22:08Z</dcterms:modified>
  <cp:category/>
  <cp:version/>
  <cp:contentType/>
  <cp:contentStatus/>
</cp:coreProperties>
</file>