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activeTab="0"/>
  </bookViews>
  <sheets>
    <sheet name="1 FinPlanas" sheetId="1" r:id="rId1"/>
    <sheet name="2 FinPlanas" sheetId="2" r:id="rId2"/>
    <sheet name="3 FinPlanas" sheetId="3" r:id="rId3"/>
    <sheet name="4 FinPlanas" sheetId="4" r:id="rId4"/>
    <sheet name="5 FinPlanas" sheetId="5" r:id="rId5"/>
  </sheets>
  <definedNames>
    <definedName name="_xlnm.Print_Area" localSheetId="0">'1 FinPlanas'!$A$1:$I$73</definedName>
    <definedName name="_xlnm.Print_Area" localSheetId="1">'2 FinPlanas'!$A$1:$I$73</definedName>
    <definedName name="_xlnm.Print_Area" localSheetId="2">'3 FinPlanas'!$A$1:$I$73</definedName>
    <definedName name="_xlnm.Print_Area" localSheetId="3">'4 FinPlanas'!$A$1:$I$76</definedName>
    <definedName name="_xlnm.Print_Area" localSheetId="4">'5 FinPlanas'!$A$1:$I$76</definedName>
  </definedNames>
  <calcPr fullCalcOnLoad="1"/>
</workbook>
</file>

<file path=xl/comments1.xml><?xml version="1.0" encoding="utf-8"?>
<comments xmlns="http://schemas.openxmlformats.org/spreadsheetml/2006/main">
  <authors>
    <author>RZ</author>
    <author>Rimas</author>
  </authors>
  <commentList>
    <comment ref="C32" authorId="0">
      <text>
        <r>
          <rPr>
            <sz val="8"/>
            <rFont val="Tahoma"/>
            <family val="0"/>
          </rPr>
          <t xml:space="preserve">Visos investicijos per gyvenimo laiką T - diskontuotų metinių sąnaudų suma. Investicijos gali būti įvedamos ir į 0 metus.
</t>
        </r>
      </text>
    </comment>
    <comment ref="C48" authorId="0">
      <text>
        <r>
          <rPr>
            <sz val="8"/>
            <rFont val="Tahoma"/>
            <family val="0"/>
          </rPr>
          <t xml:space="preserve">Visos eksploatacinės sąnaudos per projekto gyvenimo trukmę T - diskontuotų metinių sąnaudų suma.
</t>
        </r>
      </text>
    </comment>
    <comment ref="C31" authorId="0">
      <text>
        <r>
          <rPr>
            <sz val="8"/>
            <rFont val="Tahoma"/>
            <family val="0"/>
          </rPr>
          <t xml:space="preserve">Į mėlynus laukus duomenys neįvedami. Šiam lauke paruoštos sąnaudos S formulei.
</t>
        </r>
      </text>
    </comment>
    <comment ref="C70"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9" authorId="1">
      <text>
        <r>
          <rPr>
            <sz val="8"/>
            <rFont val="Tahoma"/>
            <family val="0"/>
          </rPr>
          <t xml:space="preserve">Visos metinės išlaidos laikomos įvykusiomis tų metų pabaigoje ir diskontuojamos į projekto pradžią (0 metų pabaigą = 1 metų pradžią).
</t>
        </r>
      </text>
    </comment>
    <comment ref="C28" authorId="1">
      <text>
        <r>
          <rPr>
            <sz val="8"/>
            <rFont val="Tahoma"/>
            <family val="0"/>
          </rPr>
          <t xml:space="preserve">Nuo 1 iki max 50 metų imtinai. 
</t>
        </r>
      </text>
    </comment>
    <comment ref="C42" authorId="0">
      <text>
        <r>
          <rPr>
            <sz val="8"/>
            <rFont val="Tahoma"/>
            <family val="2"/>
          </rPr>
          <t>Per TIKRĄJĄ tinklo gyvenimo trukmę (pvz 40 metų).</t>
        </r>
      </text>
    </comment>
    <comment ref="C43"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3" authorId="0">
      <text>
        <r>
          <rPr>
            <sz val="8"/>
            <rFont val="Tahoma"/>
            <family val="2"/>
          </rPr>
          <t>Sumuoti nediskontuotas sąnaudas iš žemiau esančių eilučių visame skyriuje "Investicijos".</t>
        </r>
      </text>
    </comment>
    <comment ref="A49"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2.xml><?xml version="1.0" encoding="utf-8"?>
<comments xmlns="http://schemas.openxmlformats.org/spreadsheetml/2006/main">
  <authors>
    <author>RZ</author>
    <author>Rimas</author>
  </authors>
  <commentList>
    <comment ref="C32" authorId="0">
      <text>
        <r>
          <rPr>
            <sz val="8"/>
            <rFont val="Tahoma"/>
            <family val="0"/>
          </rPr>
          <t xml:space="preserve">Visos investicijos per gyvenimo laiką T - diskontuotų metinių sąnaudų suma. Investicijos gali būti įvedamos ir į 0 metus.
</t>
        </r>
      </text>
    </comment>
    <comment ref="C48" authorId="0">
      <text>
        <r>
          <rPr>
            <sz val="8"/>
            <rFont val="Tahoma"/>
            <family val="0"/>
          </rPr>
          <t xml:space="preserve">Visos eksploatacinės sąnaudos per projekto gyvenimo trukmę T - diskontuotų metinių sąnaudų suma.
</t>
        </r>
      </text>
    </comment>
    <comment ref="C31" authorId="0">
      <text>
        <r>
          <rPr>
            <sz val="8"/>
            <rFont val="Tahoma"/>
            <family val="0"/>
          </rPr>
          <t xml:space="preserve">Į mėlynus laukus duomenys neįvedami. Šiam lauke paruoštos sąnaudos S formulei.
</t>
        </r>
      </text>
    </comment>
    <comment ref="C70"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9" authorId="1">
      <text>
        <r>
          <rPr>
            <sz val="8"/>
            <rFont val="Tahoma"/>
            <family val="0"/>
          </rPr>
          <t xml:space="preserve">Visos metinės išlaidos laikomos įvykusiomis tų metų pabaigoje ir diskontuojamos į projekto pradžią (0 metų pabaigą = 1 metų pradžią).
</t>
        </r>
      </text>
    </comment>
    <comment ref="C28" authorId="1">
      <text>
        <r>
          <rPr>
            <sz val="8"/>
            <rFont val="Tahoma"/>
            <family val="0"/>
          </rPr>
          <t xml:space="preserve">Nuo 1 iki max 50 metų imtinai. 
</t>
        </r>
      </text>
    </comment>
    <comment ref="C42" authorId="0">
      <text>
        <r>
          <rPr>
            <sz val="8"/>
            <rFont val="Tahoma"/>
            <family val="2"/>
          </rPr>
          <t>Per TIKRĄJĄ tinklo gyvenimo trukmę (pvz 40 metų).</t>
        </r>
      </text>
    </comment>
    <comment ref="C43"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3" authorId="0">
      <text>
        <r>
          <rPr>
            <sz val="8"/>
            <rFont val="Tahoma"/>
            <family val="2"/>
          </rPr>
          <t>Sumuoti nediskontuotas sąnaudas iš žemiau esančių eilučių visame skyriuje "Investicijos".</t>
        </r>
      </text>
    </comment>
    <comment ref="A49"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3.xml><?xml version="1.0" encoding="utf-8"?>
<comments xmlns="http://schemas.openxmlformats.org/spreadsheetml/2006/main">
  <authors>
    <author>RZ</author>
    <author>Rimas</author>
  </authors>
  <commentList>
    <comment ref="C32" authorId="0">
      <text>
        <r>
          <rPr>
            <sz val="8"/>
            <rFont val="Tahoma"/>
            <family val="0"/>
          </rPr>
          <t xml:space="preserve">Visos investicijos per gyvenimo laiką T - diskontuotų metinių sąnaudų suma. Investicijos gali būti įvedamos ir į 0 metus.
</t>
        </r>
      </text>
    </comment>
    <comment ref="C48" authorId="0">
      <text>
        <r>
          <rPr>
            <sz val="8"/>
            <rFont val="Tahoma"/>
            <family val="0"/>
          </rPr>
          <t xml:space="preserve">Visos eksploatacinės sąnaudos per projekto gyvenimo trukmę T - diskontuotų metinių sąnaudų suma.
</t>
        </r>
      </text>
    </comment>
    <comment ref="C31" authorId="0">
      <text>
        <r>
          <rPr>
            <sz val="8"/>
            <rFont val="Tahoma"/>
            <family val="0"/>
          </rPr>
          <t xml:space="preserve">Į mėlynus laukus duomenys neįvedami. Šiam lauke paruoštos sąnaudos S formulei.
</t>
        </r>
      </text>
    </comment>
    <comment ref="C70"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9" authorId="1">
      <text>
        <r>
          <rPr>
            <sz val="8"/>
            <rFont val="Tahoma"/>
            <family val="0"/>
          </rPr>
          <t xml:space="preserve">Visos metinės išlaidos laikomos įvykusiomis tų metų pabaigoje ir diskontuojamos į projekto pradžią (0 metų pabaigą = 1 metų pradžią).
</t>
        </r>
      </text>
    </comment>
    <comment ref="C28" authorId="1">
      <text>
        <r>
          <rPr>
            <sz val="8"/>
            <rFont val="Tahoma"/>
            <family val="0"/>
          </rPr>
          <t xml:space="preserve">Nuo 1 iki max 50 metų imtinai. 
</t>
        </r>
      </text>
    </comment>
    <comment ref="C42" authorId="0">
      <text>
        <r>
          <rPr>
            <sz val="8"/>
            <rFont val="Tahoma"/>
            <family val="2"/>
          </rPr>
          <t>Per TIKRĄJĄ tinklo gyvenimo trukmę (pvz 40 metų).</t>
        </r>
      </text>
    </comment>
    <comment ref="C43"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3" authorId="0">
      <text>
        <r>
          <rPr>
            <sz val="8"/>
            <rFont val="Tahoma"/>
            <family val="2"/>
          </rPr>
          <t>Sumuoti nediskontuotas sąnaudas iš žemiau esančių eilučių visame skyriuje "Investicijos".</t>
        </r>
      </text>
    </comment>
    <comment ref="A49"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4.xml><?xml version="1.0" encoding="utf-8"?>
<comments xmlns="http://schemas.openxmlformats.org/spreadsheetml/2006/main">
  <authors>
    <author>RZ</author>
    <author>Rimas</author>
  </authors>
  <commentList>
    <comment ref="C32" authorId="0">
      <text>
        <r>
          <rPr>
            <sz val="8"/>
            <rFont val="Tahoma"/>
            <family val="0"/>
          </rPr>
          <t xml:space="preserve">Visos investicijos per gyvenimo laiką T - diskontuotų metinių sąnaudų suma. Investicijos gali būti įvedamos ir į 0 metus.
</t>
        </r>
      </text>
    </comment>
    <comment ref="C51" authorId="0">
      <text>
        <r>
          <rPr>
            <sz val="8"/>
            <rFont val="Tahoma"/>
            <family val="0"/>
          </rPr>
          <t xml:space="preserve">Visos eksploatacinės sąnaudos per projekto gyvenimo trukmę T - diskontuotų metinių sąnaudų suma.
</t>
        </r>
      </text>
    </comment>
    <comment ref="C31" authorId="0">
      <text>
        <r>
          <rPr>
            <sz val="8"/>
            <rFont val="Tahoma"/>
            <family val="0"/>
          </rPr>
          <t xml:space="preserve">Į mėlynus laukus duomenys neįvedami. Šiam lauke paruoštos sąnaudos S formulei.
</t>
        </r>
      </text>
    </comment>
    <comment ref="C73"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9" authorId="1">
      <text>
        <r>
          <rPr>
            <sz val="8"/>
            <rFont val="Tahoma"/>
            <family val="0"/>
          </rPr>
          <t xml:space="preserve">Visos metinės išlaidos laikomos įvykusiomis tų metų pabaigoje ir diskontuojamos į projekto pradžią (0 metų pabaigą = 1 metų pradžią).
</t>
        </r>
      </text>
    </comment>
    <comment ref="C28" authorId="1">
      <text>
        <r>
          <rPr>
            <sz val="8"/>
            <rFont val="Tahoma"/>
            <family val="0"/>
          </rPr>
          <t xml:space="preserve">Nuo 1 iki max 50 metų imtinai. 
</t>
        </r>
      </text>
    </comment>
    <comment ref="C42" authorId="0">
      <text>
        <r>
          <rPr>
            <sz val="8"/>
            <rFont val="Tahoma"/>
            <family val="2"/>
          </rPr>
          <t>Per TIKRĄJĄ tinklo gyvenimo trukmę (pvz 40 metų).</t>
        </r>
      </text>
    </comment>
    <comment ref="C43"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3" authorId="0">
      <text>
        <r>
          <rPr>
            <sz val="8"/>
            <rFont val="Tahoma"/>
            <family val="2"/>
          </rPr>
          <t>Sumuoti nediskontuotas sąnaudas iš žemiau esančių eilučių visame skyriuje "Investicijos".</t>
        </r>
      </text>
    </comment>
    <comment ref="A52"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5.xml><?xml version="1.0" encoding="utf-8"?>
<comments xmlns="http://schemas.openxmlformats.org/spreadsheetml/2006/main">
  <authors>
    <author>RZ</author>
    <author>Rimas</author>
  </authors>
  <commentList>
    <comment ref="C32" authorId="0">
      <text>
        <r>
          <rPr>
            <sz val="8"/>
            <rFont val="Tahoma"/>
            <family val="0"/>
          </rPr>
          <t xml:space="preserve">Visos investicijos per gyvenimo laiką T - diskontuotų metinių sąnaudų suma. Investicijos gali būti įvedamos ir į 0 metus.
</t>
        </r>
      </text>
    </comment>
    <comment ref="C51" authorId="0">
      <text>
        <r>
          <rPr>
            <sz val="8"/>
            <rFont val="Tahoma"/>
            <family val="0"/>
          </rPr>
          <t xml:space="preserve">Visos eksploatacinės sąnaudos per projekto gyvenimo trukmę T - diskontuotų metinių sąnaudų suma.
</t>
        </r>
      </text>
    </comment>
    <comment ref="C31" authorId="0">
      <text>
        <r>
          <rPr>
            <sz val="8"/>
            <rFont val="Tahoma"/>
            <family val="0"/>
          </rPr>
          <t xml:space="preserve">Į mėlynus laukus duomenys neįvedami. Šiam lauke paruoštos sąnaudos S formulei.
</t>
        </r>
      </text>
    </comment>
    <comment ref="C73"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9" authorId="1">
      <text>
        <r>
          <rPr>
            <sz val="8"/>
            <rFont val="Tahoma"/>
            <family val="0"/>
          </rPr>
          <t xml:space="preserve">Visos metinės išlaidos laikomos įvykusiomis tų metų pabaigoje ir diskontuojamos į projekto pradžią (0 metų pabaigą = 1 metų pradžią).
</t>
        </r>
      </text>
    </comment>
    <comment ref="C28" authorId="1">
      <text>
        <r>
          <rPr>
            <sz val="8"/>
            <rFont val="Tahoma"/>
            <family val="0"/>
          </rPr>
          <t xml:space="preserve">Nuo 1 iki max 50 metų imtinai. 
</t>
        </r>
      </text>
    </comment>
    <comment ref="C42" authorId="0">
      <text>
        <r>
          <rPr>
            <sz val="8"/>
            <rFont val="Tahoma"/>
            <family val="2"/>
          </rPr>
          <t>Per TIKRĄJĄ tinklo gyvenimo trukmę (pvz 40 metų).</t>
        </r>
      </text>
    </comment>
    <comment ref="C43"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3" authorId="0">
      <text>
        <r>
          <rPr>
            <sz val="8"/>
            <rFont val="Tahoma"/>
            <family val="2"/>
          </rPr>
          <t>Sumuoti nediskontuotas sąnaudas iš žemiau esančių eilučių visame skyriuje "Investicijos".</t>
        </r>
      </text>
    </comment>
    <comment ref="A52"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sharedStrings.xml><?xml version="1.0" encoding="utf-8"?>
<sst xmlns="http://schemas.openxmlformats.org/spreadsheetml/2006/main" count="512" uniqueCount="84">
  <si>
    <t>Rodiklis</t>
  </si>
  <si>
    <t>Mat. vienetas</t>
  </si>
  <si>
    <t>Diskonto norma</t>
  </si>
  <si>
    <t>%</t>
  </si>
  <si>
    <t>Šilumos gamybos būdas:</t>
  </si>
  <si>
    <t>Metai:</t>
  </si>
  <si>
    <t>metų</t>
  </si>
  <si>
    <t>kWh</t>
  </si>
  <si>
    <t>ct/kWh</t>
  </si>
  <si>
    <t xml:space="preserve">     Investicijos:</t>
  </si>
  <si>
    <t>A) Katilinė</t>
  </si>
  <si>
    <t>B) Tinklas</t>
  </si>
  <si>
    <t>C) Kitos investicijos</t>
  </si>
  <si>
    <t>D) Kuras</t>
  </si>
  <si>
    <t>E) Elektros energija</t>
  </si>
  <si>
    <t xml:space="preserve">     Eksploatacinės išlaidos:</t>
  </si>
  <si>
    <t>G) Kitos eksploatacinės išlaidos</t>
  </si>
  <si>
    <t>Lt</t>
  </si>
  <si>
    <t>F) Darbo užmokestis (su soc. draudimu)</t>
  </si>
  <si>
    <t>Tinklo gyvenimo trukmė</t>
  </si>
  <si>
    <t>Tinklo diskontuotų sąnaudų suma =</t>
  </si>
  <si>
    <t>Sąnaudos (Investicijos + Eksploatacinės):</t>
  </si>
  <si>
    <t>Projekto gyvenimo trukmė (katilai ir pagrindiniai technologiniai įrengimai)</t>
  </si>
  <si>
    <t>Koeficientas perskaičiavimui į projekto gyvenimo trukmę</t>
  </si>
  <si>
    <r>
      <t xml:space="preserve">                            </t>
    </r>
    <r>
      <rPr>
        <i/>
        <sz val="12"/>
        <rFont val="Arial"/>
        <family val="2"/>
      </rPr>
      <t>Investicijos VISO - nediskontuotos:</t>
    </r>
  </si>
  <si>
    <r>
      <t xml:space="preserve">      </t>
    </r>
    <r>
      <rPr>
        <i/>
        <sz val="12"/>
        <rFont val="Arial"/>
        <family val="2"/>
      </rPr>
      <t>Eksploatacinės išlaidos VISO - nediskontuotos:</t>
    </r>
  </si>
  <si>
    <t>Išeities duomenys ir prielaidos:</t>
  </si>
  <si>
    <t>Pagamintos šilumos savikainos skaičiavimas</t>
  </si>
  <si>
    <t>Katilinės pastato praplėtimo darbai</t>
  </si>
  <si>
    <t>Tūkst.Lt</t>
  </si>
  <si>
    <t>kW</t>
  </si>
  <si>
    <t>Tūkst.Lt/t</t>
  </si>
  <si>
    <t>Metų</t>
  </si>
  <si>
    <t>Suskystintų dujų kaina</t>
  </si>
  <si>
    <t>Lt/t</t>
  </si>
  <si>
    <t>Dienų/metus</t>
  </si>
  <si>
    <t>Ievos kalno ir Rėzos šilumos tiekimo sistemų sujungimo darbai</t>
  </si>
  <si>
    <t>kcal/kg</t>
  </si>
  <si>
    <t>Suskystintų dujų žemutinė šiluminė vertė</t>
  </si>
  <si>
    <t>MWh/metus</t>
  </si>
  <si>
    <t>Suskystintų dujų katilo NVK</t>
  </si>
  <si>
    <t>t/metus</t>
  </si>
  <si>
    <t>Tūkst.Lt/metus</t>
  </si>
  <si>
    <t>Elektros kaina</t>
  </si>
  <si>
    <t>kWh/metus</t>
  </si>
  <si>
    <t>Išlaidos elektros energijai</t>
  </si>
  <si>
    <t>Lt/metus</t>
  </si>
  <si>
    <t>Lt/mėn</t>
  </si>
  <si>
    <t>Sutaupymai:</t>
  </si>
  <si>
    <t>Sutaupyta suskystintų dujų</t>
  </si>
  <si>
    <t>Sutaupytų suskystintų dujų vertė</t>
  </si>
  <si>
    <t xml:space="preserve">Išlaidos jungties tarp Ievos kalno ir Rėzos sistemų statybai </t>
  </si>
  <si>
    <t xml:space="preserve">3 variantas. Dalies suskystintų dujų pakeitimas medienos granulėmis </t>
  </si>
  <si>
    <t>Granulių katilų KSM-775-75 nominali galia</t>
  </si>
  <si>
    <t xml:space="preserve">Granulių kaina (12 t vienu reisu, 150 km atstumu, po 2 Lt/km skaičiuojant į abu galus) </t>
  </si>
  <si>
    <t>Granulių žemutinė šiluminė vertė</t>
  </si>
  <si>
    <t xml:space="preserve">Granulių katilo gyvenimo laikas </t>
  </si>
  <si>
    <t xml:space="preserve">Granulių katilo NVK prie nominalios galios </t>
  </si>
  <si>
    <t>Granulių katilų kaina (su 20% nuolaida)</t>
  </si>
  <si>
    <t>kJ/kg</t>
  </si>
  <si>
    <t xml:space="preserve">Granulių katilų darbo nominalia galia trukmė </t>
  </si>
  <si>
    <t>2 granulių katilai bendros 150 kW galios</t>
  </si>
  <si>
    <t xml:space="preserve">   tas pats, įvertinus 40 m. tinklo gyvenimo laikotarpį</t>
  </si>
  <si>
    <t xml:space="preserve">Granulių katilų darbo 50% nominalios galios trukmė (dirba vienas 75 kW katilas) </t>
  </si>
  <si>
    <t>Granulių poreikis</t>
  </si>
  <si>
    <t xml:space="preserve">Išlaidos granulėms pirkti </t>
  </si>
  <si>
    <t>Šilumos gamyba dviem granulių katilais 100% nominalios galios</t>
  </si>
  <si>
    <t>Šilumos gamyba vienu granulių katilu 100% nominalios galios</t>
  </si>
  <si>
    <t>Granulių katilinės elektros įrengimams</t>
  </si>
  <si>
    <t>Instaliuota granulių katilinės elektros galia</t>
  </si>
  <si>
    <t>Darbuotojo (1/2 etato) darbo užmokestis (su soc. draudimu)</t>
  </si>
  <si>
    <t>Papildomo darbuotojo mėnesinis atlyginimas brutto</t>
  </si>
  <si>
    <t xml:space="preserve">Juodkrantės Rėzos katilinė rekonstruojama, praplečiant katilinės pastatą ir įrengiant du po 75 kW galios medienos granulių katilus           KSM-775-75 ir granulių sandėlį. Dūmų išmetimui panaudojamas esamas katilinės kaminas, priimant, kad vienu metu granulių ir suskystintų dujų katilai nedirbs. Ievos kalno šilumos tiekimo sistema sujungiama su Rėzos sistema, nutiesiant 100 m ilgio jungiantįjį vamzdyną. </t>
  </si>
  <si>
    <t xml:space="preserve">1 kWh pagamintos šilumos savikaina       (bazinio varianto savikainos pokytis) </t>
  </si>
  <si>
    <t>Pagaminta šilumos granulių katilais</t>
  </si>
  <si>
    <t>1 finansavimo planas</t>
  </si>
  <si>
    <t>2 finansavimo planas</t>
  </si>
  <si>
    <t>3 finansavimo planas</t>
  </si>
  <si>
    <t>4 finansavimo planas</t>
  </si>
  <si>
    <t>5 finansavimo planas</t>
  </si>
  <si>
    <t>Paskola</t>
  </si>
  <si>
    <t>Paskolos aptarnavimas (grąžinimai + 8% palūkanos)</t>
  </si>
  <si>
    <t>Paskolos administravimo mokestis (1% nuo paskolos sumos)</t>
  </si>
  <si>
    <t>Paskolos aptarnavimas (grąžinimai + 10% palūkanos)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</si>
</sst>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s>
  <fonts count="51">
    <font>
      <sz val="10"/>
      <name val="Arial"/>
      <family val="0"/>
    </font>
    <font>
      <sz val="12"/>
      <name val="Arial"/>
      <family val="0"/>
    </font>
    <font>
      <sz val="14"/>
      <name val="Arial"/>
      <family val="0"/>
    </font>
    <font>
      <sz val="8"/>
      <name val="Arial"/>
      <family val="0"/>
    </font>
    <font>
      <sz val="11"/>
      <name val="Arial"/>
      <family val="2"/>
    </font>
    <font>
      <b/>
      <sz val="10"/>
      <name val="Arial"/>
      <family val="2"/>
    </font>
    <font>
      <i/>
      <sz val="10"/>
      <name val="Arial"/>
      <family val="2"/>
    </font>
    <font>
      <u val="single"/>
      <sz val="10"/>
      <name val="Arial"/>
      <family val="0"/>
    </font>
    <font>
      <i/>
      <sz val="12"/>
      <name val="Arial"/>
      <family val="2"/>
    </font>
    <font>
      <sz val="8"/>
      <name val="Tahoma"/>
      <family val="0"/>
    </font>
    <font>
      <b/>
      <sz val="8"/>
      <name val="Tahoma"/>
      <family val="2"/>
    </font>
    <font>
      <sz val="10"/>
      <color indexed="40"/>
      <name val="Arial"/>
      <family val="0"/>
    </font>
    <font>
      <b/>
      <sz val="12"/>
      <name val="Arial"/>
      <family val="2"/>
    </font>
    <font>
      <i/>
      <sz val="14"/>
      <color indexed="12"/>
      <name val="Arial"/>
      <family val="2"/>
    </font>
    <font>
      <sz val="16"/>
      <name val="Arial"/>
      <family val="0"/>
    </font>
    <font>
      <sz val="11"/>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5700"/>
      <name val="Calibri"/>
      <family val="2"/>
    </font>
    <font>
      <sz val="11"/>
      <color theme="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double"/>
      <top style="double"/>
      <bottom style="double"/>
    </border>
    <border>
      <left style="medium"/>
      <right style="medium"/>
      <top style="medium"/>
      <bottom style="medium"/>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thin"/>
      <right style="thin"/>
      <top style="thin"/>
      <bottom>
        <color indexed="63"/>
      </bottom>
    </border>
    <border>
      <left style="thin"/>
      <right style="hair"/>
      <top style="double"/>
      <bottom style="double"/>
    </border>
    <border>
      <left style="thin"/>
      <right style="double"/>
      <top style="medium"/>
      <bottom style="double"/>
    </border>
    <border>
      <left style="hair"/>
      <right>
        <color indexed="63"/>
      </right>
      <top style="double"/>
      <bottom style="double"/>
    </border>
    <border>
      <left style="medium"/>
      <right style="medium"/>
      <top style="medium"/>
      <bottom style="thin"/>
    </border>
    <border>
      <left style="medium"/>
      <right style="medium"/>
      <top style="thin"/>
      <bottom style="medium"/>
    </border>
    <border>
      <left style="double"/>
      <right style="hair"/>
      <top style="double"/>
      <bottom style="double"/>
    </border>
    <border>
      <left style="double"/>
      <right style="double"/>
      <top style="double"/>
      <bottom style="double"/>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6" fillId="0" borderId="3" applyNumberFormat="0" applyFill="0" applyAlignment="0" applyProtection="0"/>
    <xf numFmtId="0" fontId="36" fillId="0" borderId="0" applyNumberForma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0" fontId="41" fillId="22" borderId="4" applyNumberFormat="0" applyAlignment="0" applyProtection="0"/>
    <xf numFmtId="0" fontId="42"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6" applyNumberFormat="0" applyFon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22" borderId="5"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10" xfId="0" applyBorder="1" applyAlignment="1">
      <alignment horizontal="center"/>
    </xf>
    <xf numFmtId="0" fontId="2" fillId="0" borderId="0" xfId="0" applyFont="1" applyFill="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0" fillId="0" borderId="0" xfId="0" applyFont="1" applyAlignment="1">
      <alignment/>
    </xf>
    <xf numFmtId="0" fontId="0" fillId="0" borderId="0" xfId="0" applyFont="1" applyAlignment="1">
      <alignment wrapText="1"/>
    </xf>
    <xf numFmtId="0" fontId="11" fillId="0" borderId="0" xfId="0" applyFont="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horizontal="center"/>
    </xf>
    <xf numFmtId="0" fontId="0" fillId="33" borderId="12" xfId="0" applyFill="1" applyBorder="1" applyAlignment="1">
      <alignment wrapText="1"/>
    </xf>
    <xf numFmtId="0" fontId="8" fillId="33" borderId="12" xfId="0" applyFont="1" applyFill="1" applyBorder="1" applyAlignment="1">
      <alignment/>
    </xf>
    <xf numFmtId="0" fontId="0" fillId="33" borderId="0" xfId="0" applyFill="1" applyBorder="1" applyAlignment="1">
      <alignment horizontal="center"/>
    </xf>
    <xf numFmtId="0" fontId="0" fillId="33" borderId="0" xfId="0" applyFill="1" applyAlignment="1">
      <alignment horizontal="center"/>
    </xf>
    <xf numFmtId="0" fontId="0" fillId="33" borderId="0" xfId="0" applyFill="1" applyAlignment="1">
      <alignment wrapText="1"/>
    </xf>
    <xf numFmtId="0" fontId="0" fillId="0" borderId="14" xfId="0" applyBorder="1" applyAlignment="1">
      <alignment/>
    </xf>
    <xf numFmtId="0" fontId="4" fillId="33" borderId="15" xfId="0" applyFont="1" applyFill="1" applyBorder="1" applyAlignment="1">
      <alignment/>
    </xf>
    <xf numFmtId="0" fontId="13" fillId="33" borderId="0" xfId="0" applyFont="1" applyFill="1" applyAlignment="1">
      <alignment/>
    </xf>
    <xf numFmtId="0" fontId="0" fillId="34" borderId="0" xfId="0" applyFill="1" applyAlignment="1">
      <alignment/>
    </xf>
    <xf numFmtId="0" fontId="0" fillId="0" borderId="0" xfId="0" applyFill="1" applyBorder="1" applyAlignment="1">
      <alignment horizontal="center"/>
    </xf>
    <xf numFmtId="0" fontId="15" fillId="33" borderId="0" xfId="0" applyFont="1" applyFill="1" applyAlignment="1">
      <alignment horizontal="center"/>
    </xf>
    <xf numFmtId="0" fontId="1" fillId="35" borderId="0" xfId="0" applyFont="1" applyFill="1" applyAlignment="1">
      <alignment/>
    </xf>
    <xf numFmtId="0" fontId="0" fillId="35" borderId="0" xfId="0" applyFill="1" applyAlignment="1">
      <alignment/>
    </xf>
    <xf numFmtId="0" fontId="0" fillId="0" borderId="0" xfId="0" applyFont="1" applyFill="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6" xfId="0" applyBorder="1" applyAlignment="1">
      <alignment horizontal="center"/>
    </xf>
    <xf numFmtId="0" fontId="0" fillId="33" borderId="17" xfId="0" applyFont="1" applyFill="1" applyBorder="1" applyAlignment="1">
      <alignment horizontal="center" vertical="top"/>
    </xf>
    <xf numFmtId="0" fontId="0" fillId="0" borderId="0" xfId="0" applyBorder="1" applyAlignment="1">
      <alignment horizontal="left" vertical="top"/>
    </xf>
    <xf numFmtId="0" fontId="1" fillId="33" borderId="18" xfId="0" applyFont="1" applyFill="1" applyBorder="1" applyAlignment="1">
      <alignment horizontal="center"/>
    </xf>
    <xf numFmtId="0" fontId="0" fillId="33" borderId="13" xfId="0" applyFill="1" applyBorder="1" applyAlignment="1">
      <alignment horizontal="center"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0" fillId="0" borderId="0" xfId="0" applyFont="1" applyBorder="1" applyAlignment="1">
      <alignment horizontal="right" vertical="top"/>
    </xf>
    <xf numFmtId="0" fontId="0" fillId="36" borderId="0" xfId="0" applyFont="1" applyFill="1" applyAlignment="1">
      <alignment/>
    </xf>
    <xf numFmtId="0" fontId="0" fillId="36" borderId="0" xfId="0" applyFont="1" applyFill="1" applyBorder="1" applyAlignment="1">
      <alignment horizontal="center" vertical="top"/>
    </xf>
    <xf numFmtId="0" fontId="0" fillId="36" borderId="0" xfId="0" applyFont="1" applyFill="1" applyBorder="1" applyAlignment="1">
      <alignment horizontal="right" vertical="top"/>
    </xf>
    <xf numFmtId="0" fontId="0" fillId="36" borderId="0" xfId="0" applyFill="1" applyAlignment="1">
      <alignment/>
    </xf>
    <xf numFmtId="0" fontId="0" fillId="36" borderId="0" xfId="0" applyFill="1" applyAlignment="1">
      <alignment horizontal="center"/>
    </xf>
    <xf numFmtId="172" fontId="0" fillId="36" borderId="0" xfId="0" applyNumberFormat="1" applyFill="1" applyAlignment="1">
      <alignment/>
    </xf>
    <xf numFmtId="2" fontId="0" fillId="36" borderId="0" xfId="0" applyNumberFormat="1" applyFill="1" applyAlignment="1">
      <alignment/>
    </xf>
    <xf numFmtId="2" fontId="0" fillId="0" borderId="0" xfId="0" applyNumberFormat="1" applyAlignment="1">
      <alignment/>
    </xf>
    <xf numFmtId="2" fontId="0" fillId="35" borderId="0" xfId="0" applyNumberFormat="1" applyFill="1" applyAlignment="1">
      <alignment/>
    </xf>
    <xf numFmtId="0" fontId="0" fillId="0" borderId="0" xfId="0" applyFont="1" applyFill="1" applyBorder="1" applyAlignment="1">
      <alignment horizontal="right" vertical="top"/>
    </xf>
    <xf numFmtId="0" fontId="5" fillId="36" borderId="0" xfId="0" applyFont="1" applyFill="1" applyAlignment="1">
      <alignment/>
    </xf>
    <xf numFmtId="0" fontId="0" fillId="35" borderId="0" xfId="0" applyFont="1" applyFill="1" applyBorder="1" applyAlignment="1">
      <alignment horizontal="right" vertical="top"/>
    </xf>
    <xf numFmtId="0" fontId="12" fillId="33" borderId="21" xfId="0" applyFont="1" applyFill="1" applyBorder="1" applyAlignment="1">
      <alignment wrapText="1"/>
    </xf>
    <xf numFmtId="0" fontId="14" fillId="35" borderId="0" xfId="0" applyFont="1" applyFill="1" applyBorder="1" applyAlignment="1">
      <alignment vertical="top"/>
    </xf>
    <xf numFmtId="0" fontId="0" fillId="0" borderId="0" xfId="0" applyAlignment="1">
      <alignment/>
    </xf>
    <xf numFmtId="0" fontId="0" fillId="37" borderId="0" xfId="0" applyFill="1" applyAlignment="1">
      <alignment/>
    </xf>
    <xf numFmtId="2" fontId="0" fillId="37" borderId="0" xfId="0" applyNumberFormat="1" applyFill="1" applyAlignment="1">
      <alignment/>
    </xf>
    <xf numFmtId="0" fontId="0" fillId="37" borderId="0" xfId="0" applyFont="1" applyFill="1" applyAlignment="1">
      <alignment wrapText="1"/>
    </xf>
    <xf numFmtId="0" fontId="0" fillId="37" borderId="0" xfId="0" applyFill="1" applyAlignment="1">
      <alignment horizontal="center"/>
    </xf>
    <xf numFmtId="0" fontId="0" fillId="37" borderId="0" xfId="0" applyFill="1" applyBorder="1" applyAlignment="1">
      <alignment/>
    </xf>
    <xf numFmtId="2" fontId="0" fillId="37" borderId="0" xfId="0" applyNumberFormat="1" applyFill="1" applyBorder="1" applyAlignment="1">
      <alignment/>
    </xf>
    <xf numFmtId="0" fontId="0" fillId="37" borderId="0" xfId="0" applyFont="1" applyFill="1" applyAlignment="1">
      <alignment vertical="center" wrapText="1"/>
    </xf>
    <xf numFmtId="173" fontId="1" fillId="33" borderId="22" xfId="0" applyNumberFormat="1" applyFont="1" applyFill="1" applyBorder="1" applyAlignment="1">
      <alignment/>
    </xf>
    <xf numFmtId="0" fontId="14" fillId="35" borderId="0" xfId="0" applyFont="1" applyFill="1" applyBorder="1" applyAlignment="1">
      <alignment vertical="top"/>
    </xf>
    <xf numFmtId="0" fontId="0" fillId="0" borderId="0" xfId="0" applyAlignment="1">
      <alignment/>
    </xf>
    <xf numFmtId="0" fontId="14" fillId="35" borderId="23" xfId="0" applyFont="1" applyFill="1" applyBorder="1" applyAlignment="1">
      <alignment vertical="top"/>
    </xf>
    <xf numFmtId="0" fontId="0" fillId="0" borderId="0" xfId="0" applyBorder="1" applyAlignment="1">
      <alignment vertical="top"/>
    </xf>
    <xf numFmtId="0" fontId="1" fillId="0" borderId="24"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4" fillId="33" borderId="27" xfId="0" applyFont="1" applyFill="1" applyBorder="1" applyAlignment="1">
      <alignment horizontal="left" vertical="top"/>
    </xf>
    <xf numFmtId="0" fontId="4" fillId="0" borderId="28" xfId="0" applyFont="1" applyBorder="1" applyAlignment="1">
      <alignment vertical="top"/>
    </xf>
    <xf numFmtId="0" fontId="4" fillId="0" borderId="29" xfId="0" applyFont="1" applyBorder="1" applyAlignment="1">
      <alignment vertical="top"/>
    </xf>
    <xf numFmtId="0" fontId="0" fillId="0" borderId="30" xfId="0" applyFont="1" applyFill="1"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0" xfId="0" applyFont="1" applyFill="1" applyBorder="1" applyAlignment="1">
      <alignment horizontal="left" vertical="top"/>
    </xf>
    <xf numFmtId="0" fontId="0" fillId="0" borderId="0" xfId="0" applyBorder="1" applyAlignment="1">
      <alignment horizontal="left" vertical="top"/>
    </xf>
    <xf numFmtId="0" fontId="0" fillId="0" borderId="32" xfId="0" applyBorder="1" applyAlignment="1">
      <alignment horizontal="left" vertical="top"/>
    </xf>
    <xf numFmtId="0" fontId="0" fillId="0" borderId="0" xfId="0" applyAlignment="1">
      <alignment horizontal="left" vertical="top"/>
    </xf>
    <xf numFmtId="0" fontId="0" fillId="0" borderId="33" xfId="0" applyFont="1" applyFill="1"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B73"/>
  <sheetViews>
    <sheetView tabSelected="1" zoomScalePageLayoutView="0" workbookViewId="0" topLeftCell="A50">
      <selection activeCell="C73" sqref="C73"/>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67" t="s">
        <v>27</v>
      </c>
      <c r="B1" s="68"/>
      <c r="C1" s="66"/>
      <c r="D1" s="66"/>
      <c r="E1" s="1"/>
    </row>
    <row r="2" spans="1:5" ht="24" customHeight="1">
      <c r="A2" s="65" t="s">
        <v>52</v>
      </c>
      <c r="B2" s="66"/>
      <c r="C2" s="66"/>
      <c r="D2" s="66"/>
      <c r="E2" s="1"/>
    </row>
    <row r="3" spans="1:5" ht="24" customHeight="1">
      <c r="A3" s="55" t="s">
        <v>75</v>
      </c>
      <c r="B3" s="56"/>
      <c r="C3" s="56"/>
      <c r="D3" s="56"/>
      <c r="E3" s="1"/>
    </row>
    <row r="4" spans="1:5" ht="12" customHeight="1">
      <c r="A4" s="4"/>
      <c r="B4" s="1"/>
      <c r="C4" s="1"/>
      <c r="D4" s="1"/>
      <c r="E4" s="1"/>
    </row>
    <row r="5" spans="1:5" ht="12" customHeight="1" thickBot="1">
      <c r="A5" s="24" t="s">
        <v>4</v>
      </c>
      <c r="B5" s="1"/>
      <c r="C5" s="1"/>
      <c r="D5" s="1"/>
      <c r="E5" s="1"/>
    </row>
    <row r="6" spans="1:9" ht="72.75" customHeight="1" thickBot="1">
      <c r="A6" s="69" t="s">
        <v>72</v>
      </c>
      <c r="B6" s="70"/>
      <c r="C6" s="70"/>
      <c r="D6" s="70"/>
      <c r="E6" s="70"/>
      <c r="F6" s="70"/>
      <c r="G6" s="70"/>
      <c r="H6" s="70"/>
      <c r="I6" s="71"/>
    </row>
    <row r="7" spans="1:9" ht="15" customHeight="1" thickBot="1">
      <c r="A7" s="72" t="s">
        <v>26</v>
      </c>
      <c r="B7" s="73"/>
      <c r="C7" s="74"/>
      <c r="D7" s="35" t="s">
        <v>1</v>
      </c>
      <c r="E7" s="32"/>
      <c r="F7" s="32"/>
      <c r="G7" s="32"/>
      <c r="H7" s="32"/>
      <c r="I7" s="32"/>
    </row>
    <row r="8" spans="1:9" ht="15" customHeight="1" thickTop="1">
      <c r="A8" s="75" t="s">
        <v>53</v>
      </c>
      <c r="B8" s="76"/>
      <c r="C8" s="77"/>
      <c r="D8" s="33" t="s">
        <v>30</v>
      </c>
      <c r="E8" s="41">
        <v>150</v>
      </c>
      <c r="F8" s="32"/>
      <c r="G8" s="32"/>
      <c r="H8" s="32"/>
      <c r="I8" s="32"/>
    </row>
    <row r="9" spans="1:9" ht="15" customHeight="1">
      <c r="A9" s="78" t="s">
        <v>58</v>
      </c>
      <c r="B9" s="79"/>
      <c r="C9" s="80"/>
      <c r="D9" s="33" t="s">
        <v>29</v>
      </c>
      <c r="E9" s="51">
        <v>48</v>
      </c>
      <c r="F9" s="32"/>
      <c r="G9" s="32"/>
      <c r="H9" s="32"/>
      <c r="I9" s="32"/>
    </row>
    <row r="10" spans="1:9" ht="15" customHeight="1">
      <c r="A10" s="78" t="s">
        <v>28</v>
      </c>
      <c r="B10" s="81"/>
      <c r="C10" s="80"/>
      <c r="D10" s="33" t="s">
        <v>29</v>
      </c>
      <c r="E10" s="53">
        <v>50</v>
      </c>
      <c r="F10" s="32"/>
      <c r="G10" s="32"/>
      <c r="H10" s="32"/>
      <c r="I10" s="32"/>
    </row>
    <row r="11" spans="1:9" ht="15" customHeight="1">
      <c r="A11" s="78" t="s">
        <v>54</v>
      </c>
      <c r="B11" s="79"/>
      <c r="C11" s="80"/>
      <c r="D11" s="33" t="s">
        <v>31</v>
      </c>
      <c r="E11" s="41">
        <v>0.475</v>
      </c>
      <c r="F11" s="32"/>
      <c r="G11" s="32"/>
      <c r="H11" s="32"/>
      <c r="I11" s="32"/>
    </row>
    <row r="12" spans="1:9" ht="15" customHeight="1">
      <c r="A12" s="78" t="s">
        <v>55</v>
      </c>
      <c r="B12" s="81"/>
      <c r="C12" s="80"/>
      <c r="D12" s="33" t="s">
        <v>59</v>
      </c>
      <c r="E12" s="41">
        <v>17660</v>
      </c>
      <c r="F12" s="32"/>
      <c r="G12" s="32"/>
      <c r="H12" s="32"/>
      <c r="I12" s="32"/>
    </row>
    <row r="13" spans="1:9" ht="15" customHeight="1">
      <c r="A13" s="78" t="s">
        <v>56</v>
      </c>
      <c r="B13" s="79"/>
      <c r="C13" s="80"/>
      <c r="D13" s="33" t="s">
        <v>32</v>
      </c>
      <c r="E13" s="51">
        <v>10</v>
      </c>
      <c r="F13" s="32"/>
      <c r="G13" s="32"/>
      <c r="H13" s="32"/>
      <c r="I13" s="32"/>
    </row>
    <row r="14" spans="1:9" ht="15" customHeight="1">
      <c r="A14" s="78" t="s">
        <v>57</v>
      </c>
      <c r="B14" s="81"/>
      <c r="C14" s="80"/>
      <c r="D14" s="33" t="s">
        <v>3</v>
      </c>
      <c r="E14" s="51">
        <v>82</v>
      </c>
      <c r="F14" s="32"/>
      <c r="G14" s="32"/>
      <c r="H14" s="32"/>
      <c r="I14" s="32"/>
    </row>
    <row r="15" spans="1:9" ht="15" customHeight="1">
      <c r="A15" s="78" t="s">
        <v>33</v>
      </c>
      <c r="B15" s="79"/>
      <c r="C15" s="80"/>
      <c r="D15" s="33" t="s">
        <v>34</v>
      </c>
      <c r="E15" s="41">
        <v>1785</v>
      </c>
      <c r="F15" s="32"/>
      <c r="G15" s="32"/>
      <c r="H15" s="32"/>
      <c r="I15" s="32"/>
    </row>
    <row r="16" spans="1:9" ht="15" customHeight="1">
      <c r="A16" s="78" t="s">
        <v>60</v>
      </c>
      <c r="B16" s="79"/>
      <c r="C16" s="80"/>
      <c r="D16" s="33" t="s">
        <v>35</v>
      </c>
      <c r="E16" s="41">
        <v>186</v>
      </c>
      <c r="F16" s="32"/>
      <c r="G16" s="32"/>
      <c r="H16" s="32"/>
      <c r="I16" s="32"/>
    </row>
    <row r="17" spans="1:9" ht="15" customHeight="1">
      <c r="A17" s="78" t="s">
        <v>63</v>
      </c>
      <c r="B17" s="79"/>
      <c r="C17" s="80"/>
      <c r="D17" s="33" t="s">
        <v>35</v>
      </c>
      <c r="E17" s="41">
        <f>365-E16</f>
        <v>179</v>
      </c>
      <c r="F17" s="32"/>
      <c r="G17" s="32"/>
      <c r="H17" s="32"/>
      <c r="I17" s="32"/>
    </row>
    <row r="18" spans="1:9" ht="15" customHeight="1">
      <c r="A18" s="78" t="s">
        <v>36</v>
      </c>
      <c r="B18" s="79"/>
      <c r="C18" s="80"/>
      <c r="D18" s="33" t="s">
        <v>29</v>
      </c>
      <c r="E18" s="41">
        <v>80</v>
      </c>
      <c r="F18" s="32"/>
      <c r="G18" s="32"/>
      <c r="H18" s="32"/>
      <c r="I18" s="32"/>
    </row>
    <row r="19" spans="1:9" ht="15" customHeight="1">
      <c r="A19" s="78" t="s">
        <v>40</v>
      </c>
      <c r="B19" s="81"/>
      <c r="C19" s="80"/>
      <c r="D19" s="33" t="s">
        <v>3</v>
      </c>
      <c r="E19" s="41">
        <v>88</v>
      </c>
      <c r="F19" s="32"/>
      <c r="G19" s="32"/>
      <c r="H19" s="32"/>
      <c r="I19" s="32"/>
    </row>
    <row r="20" spans="1:9" ht="15" customHeight="1">
      <c r="A20" s="78" t="s">
        <v>38</v>
      </c>
      <c r="B20" s="79"/>
      <c r="C20" s="80"/>
      <c r="D20" s="33" t="s">
        <v>37</v>
      </c>
      <c r="E20" s="41">
        <v>11000</v>
      </c>
      <c r="F20" s="32"/>
      <c r="G20" s="32"/>
      <c r="H20" s="32"/>
      <c r="I20" s="32"/>
    </row>
    <row r="21" spans="1:9" ht="15" customHeight="1">
      <c r="A21" s="78" t="s">
        <v>69</v>
      </c>
      <c r="B21" s="79"/>
      <c r="C21" s="80"/>
      <c r="D21" s="33" t="s">
        <v>30</v>
      </c>
      <c r="E21" s="41">
        <v>1.5</v>
      </c>
      <c r="F21" s="32"/>
      <c r="G21" s="32"/>
      <c r="H21" s="32"/>
      <c r="I21" s="32"/>
    </row>
    <row r="22" spans="1:9" ht="15" customHeight="1">
      <c r="A22" s="78" t="s">
        <v>43</v>
      </c>
      <c r="B22" s="79"/>
      <c r="C22" s="80"/>
      <c r="D22" s="33" t="s">
        <v>8</v>
      </c>
      <c r="E22" s="41">
        <v>36.4</v>
      </c>
      <c r="F22" s="32"/>
      <c r="G22" s="32"/>
      <c r="H22" s="32"/>
      <c r="I22" s="32"/>
    </row>
    <row r="23" spans="1:9" ht="15" customHeight="1">
      <c r="A23" s="78" t="s">
        <v>71</v>
      </c>
      <c r="B23" s="79"/>
      <c r="C23" s="80"/>
      <c r="D23" s="33" t="s">
        <v>47</v>
      </c>
      <c r="E23" s="41">
        <v>1800</v>
      </c>
      <c r="F23" s="32"/>
      <c r="G23" s="32"/>
      <c r="H23" s="32"/>
      <c r="I23" s="32"/>
    </row>
    <row r="24" spans="1:9" ht="15" customHeight="1">
      <c r="A24" s="78"/>
      <c r="B24" s="79"/>
      <c r="C24" s="80"/>
      <c r="D24" s="32"/>
      <c r="E24" s="41"/>
      <c r="F24" s="32"/>
      <c r="G24" s="32"/>
      <c r="H24" s="32"/>
      <c r="I24" s="32"/>
    </row>
    <row r="25" spans="1:9" ht="15" customHeight="1" thickBot="1">
      <c r="A25" s="82"/>
      <c r="B25" s="83"/>
      <c r="C25" s="84"/>
      <c r="D25" s="32"/>
      <c r="E25" s="32"/>
      <c r="F25" s="32"/>
      <c r="G25" s="32"/>
      <c r="H25" s="32"/>
      <c r="I25" s="32"/>
    </row>
    <row r="26" spans="1:9" ht="15" customHeight="1" thickBot="1">
      <c r="A26" s="31"/>
      <c r="B26" s="36"/>
      <c r="C26" s="36"/>
      <c r="D26" s="32"/>
      <c r="E26" s="32"/>
      <c r="F26" s="32"/>
      <c r="G26" s="32"/>
      <c r="H26" s="32"/>
      <c r="I26" s="32"/>
    </row>
    <row r="27" spans="1:3" ht="14.25" thickBot="1" thickTop="1">
      <c r="A27" s="34" t="s">
        <v>0</v>
      </c>
      <c r="B27" s="3" t="s">
        <v>1</v>
      </c>
      <c r="C27" s="2"/>
    </row>
    <row r="28" spans="1:3" ht="25.5" customHeight="1" thickTop="1">
      <c r="A28" s="18" t="s">
        <v>22</v>
      </c>
      <c r="B28" s="38" t="s">
        <v>6</v>
      </c>
      <c r="C28" s="39">
        <f>E13</f>
        <v>10</v>
      </c>
    </row>
    <row r="29" spans="1:54" ht="15" thickBot="1">
      <c r="A29" s="16" t="s">
        <v>2</v>
      </c>
      <c r="B29" s="38" t="s">
        <v>3</v>
      </c>
      <c r="C29" s="40">
        <v>8</v>
      </c>
      <c r="D29" s="14">
        <v>1</v>
      </c>
      <c r="E29" s="14">
        <f>1/(1+C29/100)</f>
        <v>0.9259259259259258</v>
      </c>
      <c r="F29" s="14">
        <f aca="true" t="shared" si="0" ref="F29:AK29">E29/(1+$C29/100)</f>
        <v>0.8573388203017831</v>
      </c>
      <c r="G29" s="14">
        <f t="shared" si="0"/>
        <v>0.7938322410201695</v>
      </c>
      <c r="H29" s="14">
        <f t="shared" si="0"/>
        <v>0.7350298527964532</v>
      </c>
      <c r="I29" s="14">
        <f t="shared" si="0"/>
        <v>0.6805831970337529</v>
      </c>
      <c r="J29" s="14">
        <f t="shared" si="0"/>
        <v>0.6301696268831045</v>
      </c>
      <c r="K29" s="14">
        <f t="shared" si="0"/>
        <v>0.5834903952621338</v>
      </c>
      <c r="L29" s="14">
        <f t="shared" si="0"/>
        <v>0.5402688845019756</v>
      </c>
      <c r="M29" s="14">
        <f t="shared" si="0"/>
        <v>0.5002489671314588</v>
      </c>
      <c r="N29" s="14">
        <f t="shared" si="0"/>
        <v>0.4631934880846841</v>
      </c>
      <c r="O29" s="14">
        <f t="shared" si="0"/>
        <v>0.4288828593376704</v>
      </c>
      <c r="P29" s="14">
        <f t="shared" si="0"/>
        <v>0.3971137586459911</v>
      </c>
      <c r="Q29" s="14">
        <f t="shared" si="0"/>
        <v>0.36769792467221396</v>
      </c>
      <c r="R29" s="14">
        <f t="shared" si="0"/>
        <v>0.3404610413631611</v>
      </c>
      <c r="S29" s="14">
        <f t="shared" si="0"/>
        <v>0.3152417049658899</v>
      </c>
      <c r="T29" s="14">
        <f t="shared" si="0"/>
        <v>0.2918904675610091</v>
      </c>
      <c r="U29" s="14">
        <f t="shared" si="0"/>
        <v>0.27026895144537877</v>
      </c>
      <c r="V29" s="14">
        <f t="shared" si="0"/>
        <v>0.2502490291160914</v>
      </c>
      <c r="W29" s="14">
        <f t="shared" si="0"/>
        <v>0.23171206399638095</v>
      </c>
      <c r="X29" s="14">
        <f t="shared" si="0"/>
        <v>0.21454820740405642</v>
      </c>
      <c r="Y29" s="14">
        <f t="shared" si="0"/>
        <v>0.19865574759634852</v>
      </c>
      <c r="Z29" s="14">
        <f t="shared" si="0"/>
        <v>0.18394050703365603</v>
      </c>
      <c r="AA29" s="14">
        <f t="shared" si="0"/>
        <v>0.17031528429042223</v>
      </c>
      <c r="AB29" s="14">
        <f t="shared" si="0"/>
        <v>0.15769933730594649</v>
      </c>
      <c r="AC29" s="14">
        <f t="shared" si="0"/>
        <v>0.14601790491291342</v>
      </c>
      <c r="AD29" s="14">
        <f t="shared" si="0"/>
        <v>0.13520176380825316</v>
      </c>
      <c r="AE29" s="14">
        <f t="shared" si="0"/>
        <v>0.12518681834097514</v>
      </c>
      <c r="AF29" s="14">
        <f t="shared" si="0"/>
        <v>0.11591372068608809</v>
      </c>
      <c r="AG29" s="14">
        <f t="shared" si="0"/>
        <v>0.10732751915378526</v>
      </c>
      <c r="AH29" s="14">
        <f t="shared" si="0"/>
        <v>0.09937733254980116</v>
      </c>
      <c r="AI29" s="14">
        <f t="shared" si="0"/>
        <v>0.09201604865722329</v>
      </c>
      <c r="AJ29" s="14">
        <f t="shared" si="0"/>
        <v>0.08520004505298452</v>
      </c>
      <c r="AK29" s="14">
        <f t="shared" si="0"/>
        <v>0.0788889306046153</v>
      </c>
      <c r="AL29" s="14">
        <f aca="true" t="shared" si="1" ref="AL29:BB29">AK29/(1+$C29/100)</f>
        <v>0.07304530611538453</v>
      </c>
      <c r="AM29" s="14">
        <f t="shared" si="1"/>
        <v>0.06763454269943012</v>
      </c>
      <c r="AN29" s="14">
        <f t="shared" si="1"/>
        <v>0.0626245765735464</v>
      </c>
      <c r="AO29" s="14">
        <f t="shared" si="1"/>
        <v>0.057985719049580005</v>
      </c>
      <c r="AP29" s="14">
        <f t="shared" si="1"/>
        <v>0.05369048060146296</v>
      </c>
      <c r="AQ29" s="14">
        <f t="shared" si="1"/>
        <v>0.04971340796431755</v>
      </c>
      <c r="AR29" s="14">
        <f t="shared" si="1"/>
        <v>0.04603093330029402</v>
      </c>
      <c r="AS29" s="14">
        <f t="shared" si="1"/>
        <v>0.042621234537309274</v>
      </c>
      <c r="AT29" s="14">
        <f t="shared" si="1"/>
        <v>0.03946410605306414</v>
      </c>
      <c r="AU29" s="14">
        <f t="shared" si="1"/>
        <v>0.03654083893802235</v>
      </c>
      <c r="AV29" s="14">
        <f t="shared" si="1"/>
        <v>0.033834110127798474</v>
      </c>
      <c r="AW29" s="14">
        <f t="shared" si="1"/>
        <v>0.03132787974796155</v>
      </c>
      <c r="AX29" s="14">
        <f t="shared" si="1"/>
        <v>0.02900729606292736</v>
      </c>
      <c r="AY29" s="14">
        <f t="shared" si="1"/>
        <v>0.02685860746567348</v>
      </c>
      <c r="AZ29" s="14">
        <f t="shared" si="1"/>
        <v>0.0248690809867347</v>
      </c>
      <c r="BA29" s="14">
        <f t="shared" si="1"/>
        <v>0.023026926839569164</v>
      </c>
      <c r="BB29" s="14">
        <f t="shared" si="1"/>
        <v>0.02132122855515663</v>
      </c>
    </row>
    <row r="30" ht="15" thickBot="1">
      <c r="D30" s="28" t="s">
        <v>5</v>
      </c>
    </row>
    <row r="31" spans="1:54" ht="15.75" thickBot="1">
      <c r="A31" s="19" t="s">
        <v>21</v>
      </c>
      <c r="B31" s="17" t="s">
        <v>17</v>
      </c>
      <c r="C31" s="15">
        <f>C32+C48</f>
        <v>-4956.759305938962</v>
      </c>
      <c r="D31" s="28">
        <v>0</v>
      </c>
      <c r="E31" s="28">
        <f aca="true" t="shared" si="2" ref="E31:AJ31">IF(D31&lt;$C28,D31+1,"")</f>
        <v>1</v>
      </c>
      <c r="F31" s="28">
        <f t="shared" si="2"/>
        <v>2</v>
      </c>
      <c r="G31" s="28">
        <f t="shared" si="2"/>
        <v>3</v>
      </c>
      <c r="H31" s="28">
        <f t="shared" si="2"/>
        <v>4</v>
      </c>
      <c r="I31" s="28">
        <f t="shared" si="2"/>
        <v>5</v>
      </c>
      <c r="J31" s="28">
        <f t="shared" si="2"/>
        <v>6</v>
      </c>
      <c r="K31" s="28">
        <f t="shared" si="2"/>
        <v>7</v>
      </c>
      <c r="L31" s="28">
        <f t="shared" si="2"/>
        <v>8</v>
      </c>
      <c r="M31" s="28">
        <f t="shared" si="2"/>
        <v>9</v>
      </c>
      <c r="N31" s="28">
        <f t="shared" si="2"/>
        <v>10</v>
      </c>
      <c r="O31" s="28">
        <f t="shared" si="2"/>
      </c>
      <c r="P31" s="28">
        <f t="shared" si="2"/>
      </c>
      <c r="Q31" s="28">
        <f t="shared" si="2"/>
      </c>
      <c r="R31" s="28">
        <f t="shared" si="2"/>
      </c>
      <c r="S31" s="28">
        <f t="shared" si="2"/>
      </c>
      <c r="T31" s="28">
        <f t="shared" si="2"/>
      </c>
      <c r="U31" s="28">
        <f t="shared" si="2"/>
      </c>
      <c r="V31" s="28">
        <f t="shared" si="2"/>
      </c>
      <c r="W31" s="28">
        <f t="shared" si="2"/>
      </c>
      <c r="X31" s="28">
        <f t="shared" si="2"/>
      </c>
      <c r="Y31" s="28">
        <f t="shared" si="2"/>
      </c>
      <c r="Z31" s="28">
        <f t="shared" si="2"/>
      </c>
      <c r="AA31" s="28">
        <f t="shared" si="2"/>
      </c>
      <c r="AB31" s="28">
        <f t="shared" si="2"/>
      </c>
      <c r="AC31" s="28">
        <f t="shared" si="2"/>
      </c>
      <c r="AD31" s="28">
        <f t="shared" si="2"/>
      </c>
      <c r="AE31" s="28">
        <f t="shared" si="2"/>
      </c>
      <c r="AF31" s="28">
        <f t="shared" si="2"/>
      </c>
      <c r="AG31" s="28">
        <f t="shared" si="2"/>
      </c>
      <c r="AH31" s="28">
        <f t="shared" si="2"/>
      </c>
      <c r="AI31" s="28">
        <f t="shared" si="2"/>
      </c>
      <c r="AJ31" s="28">
        <f t="shared" si="2"/>
      </c>
      <c r="AK31" s="28">
        <f aca="true" t="shared" si="3" ref="AK31:BB31">IF(AJ31&lt;$C28,AJ31+1,"")</f>
      </c>
      <c r="AL31" s="28">
        <f t="shared" si="3"/>
      </c>
      <c r="AM31" s="28">
        <f t="shared" si="3"/>
      </c>
      <c r="AN31" s="28">
        <f t="shared" si="3"/>
      </c>
      <c r="AO31" s="28">
        <f t="shared" si="3"/>
      </c>
      <c r="AP31" s="28">
        <f t="shared" si="3"/>
      </c>
      <c r="AQ31" s="28">
        <f t="shared" si="3"/>
      </c>
      <c r="AR31" s="28">
        <f t="shared" si="3"/>
      </c>
      <c r="AS31" s="28">
        <f t="shared" si="3"/>
      </c>
      <c r="AT31" s="28">
        <f t="shared" si="3"/>
      </c>
      <c r="AU31" s="28">
        <f t="shared" si="3"/>
      </c>
      <c r="AV31" s="28">
        <f t="shared" si="3"/>
      </c>
      <c r="AW31" s="28">
        <f t="shared" si="3"/>
      </c>
      <c r="AX31" s="28">
        <f t="shared" si="3"/>
      </c>
      <c r="AY31" s="28">
        <f t="shared" si="3"/>
      </c>
      <c r="AZ31" s="28">
        <f t="shared" si="3"/>
      </c>
      <c r="BA31" s="28">
        <f t="shared" si="3"/>
      </c>
      <c r="BB31" s="28">
        <f t="shared" si="3"/>
      </c>
    </row>
    <row r="32" spans="1:54" ht="19.5" thickBot="1">
      <c r="A32" s="25" t="s">
        <v>9</v>
      </c>
      <c r="B32" s="20" t="s">
        <v>17</v>
      </c>
      <c r="C32" s="15">
        <f>SUM(D32:BB32)</f>
        <v>143016.68078378425</v>
      </c>
      <c r="D32" s="26">
        <f aca="true" t="shared" si="4" ref="D32:AI32">D33*D29</f>
        <v>143016.68078378425</v>
      </c>
      <c r="E32" s="26">
        <f t="shared" si="4"/>
        <v>0</v>
      </c>
      <c r="F32" s="26">
        <f t="shared" si="4"/>
        <v>0</v>
      </c>
      <c r="G32" s="26">
        <f t="shared" si="4"/>
        <v>0</v>
      </c>
      <c r="H32" s="26">
        <f t="shared" si="4"/>
        <v>0</v>
      </c>
      <c r="I32" s="26">
        <f t="shared" si="4"/>
        <v>0</v>
      </c>
      <c r="J32" s="26">
        <f t="shared" si="4"/>
        <v>0</v>
      </c>
      <c r="K32" s="26">
        <f t="shared" si="4"/>
        <v>0</v>
      </c>
      <c r="L32" s="26">
        <f t="shared" si="4"/>
        <v>0</v>
      </c>
      <c r="M32" s="26">
        <f t="shared" si="4"/>
        <v>0</v>
      </c>
      <c r="N32" s="26">
        <f t="shared" si="4"/>
        <v>0</v>
      </c>
      <c r="O32" s="26">
        <f t="shared" si="4"/>
        <v>0</v>
      </c>
      <c r="P32" s="26">
        <f t="shared" si="4"/>
        <v>0</v>
      </c>
      <c r="Q32" s="26">
        <f t="shared" si="4"/>
        <v>0</v>
      </c>
      <c r="R32" s="26">
        <f t="shared" si="4"/>
        <v>0</v>
      </c>
      <c r="S32" s="26">
        <f t="shared" si="4"/>
        <v>0</v>
      </c>
      <c r="T32" s="26">
        <f t="shared" si="4"/>
        <v>0</v>
      </c>
      <c r="U32" s="26">
        <f t="shared" si="4"/>
        <v>0</v>
      </c>
      <c r="V32" s="26">
        <f t="shared" si="4"/>
        <v>0</v>
      </c>
      <c r="W32" s="26">
        <f t="shared" si="4"/>
        <v>0</v>
      </c>
      <c r="X32" s="26">
        <f t="shared" si="4"/>
        <v>0</v>
      </c>
      <c r="Y32" s="26">
        <f t="shared" si="4"/>
        <v>0</v>
      </c>
      <c r="Z32" s="26">
        <f t="shared" si="4"/>
        <v>0</v>
      </c>
      <c r="AA32" s="26">
        <f t="shared" si="4"/>
        <v>0</v>
      </c>
      <c r="AB32" s="26">
        <f t="shared" si="4"/>
        <v>0</v>
      </c>
      <c r="AC32" s="26">
        <f t="shared" si="4"/>
        <v>0</v>
      </c>
      <c r="AD32" s="26">
        <f t="shared" si="4"/>
        <v>0</v>
      </c>
      <c r="AE32" s="26">
        <f t="shared" si="4"/>
        <v>0</v>
      </c>
      <c r="AF32" s="26">
        <f t="shared" si="4"/>
        <v>0</v>
      </c>
      <c r="AG32" s="26">
        <f t="shared" si="4"/>
        <v>0</v>
      </c>
      <c r="AH32" s="26">
        <f t="shared" si="4"/>
        <v>0</v>
      </c>
      <c r="AI32" s="26">
        <f t="shared" si="4"/>
        <v>0</v>
      </c>
      <c r="AJ32" s="26">
        <f aca="true" t="shared" si="5" ref="AJ32:BB32">AJ33*AJ29</f>
        <v>0</v>
      </c>
      <c r="AK32" s="26">
        <f t="shared" si="5"/>
        <v>0</v>
      </c>
      <c r="AL32" s="26">
        <f t="shared" si="5"/>
        <v>0</v>
      </c>
      <c r="AM32" s="26">
        <f t="shared" si="5"/>
        <v>0</v>
      </c>
      <c r="AN32" s="26">
        <f t="shared" si="5"/>
        <v>0</v>
      </c>
      <c r="AO32" s="26">
        <f t="shared" si="5"/>
        <v>0</v>
      </c>
      <c r="AP32" s="26">
        <f t="shared" si="5"/>
        <v>0</v>
      </c>
      <c r="AQ32" s="26">
        <f t="shared" si="5"/>
        <v>0</v>
      </c>
      <c r="AR32" s="26">
        <f t="shared" si="5"/>
        <v>0</v>
      </c>
      <c r="AS32" s="26">
        <f t="shared" si="5"/>
        <v>0</v>
      </c>
      <c r="AT32" s="26">
        <f t="shared" si="5"/>
        <v>0</v>
      </c>
      <c r="AU32" s="26">
        <f t="shared" si="5"/>
        <v>0</v>
      </c>
      <c r="AV32" s="26">
        <f t="shared" si="5"/>
        <v>0</v>
      </c>
      <c r="AW32" s="26">
        <f t="shared" si="5"/>
        <v>0</v>
      </c>
      <c r="AX32" s="26">
        <f t="shared" si="5"/>
        <v>0</v>
      </c>
      <c r="AY32" s="26">
        <f t="shared" si="5"/>
        <v>0</v>
      </c>
      <c r="AZ32" s="26">
        <f t="shared" si="5"/>
        <v>0</v>
      </c>
      <c r="BA32" s="26">
        <f t="shared" si="5"/>
        <v>0</v>
      </c>
      <c r="BB32" s="26">
        <f t="shared" si="5"/>
        <v>0</v>
      </c>
    </row>
    <row r="33" spans="1:54" ht="14.25" customHeight="1">
      <c r="A33" s="29" t="s">
        <v>24</v>
      </c>
      <c r="B33" s="27" t="s">
        <v>17</v>
      </c>
      <c r="C33" s="11"/>
      <c r="D33" s="50">
        <f>D35+D36+D41</f>
        <v>143016.68078378425</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row>
    <row r="34" spans="1:3" ht="12.75">
      <c r="A34" s="12" t="s">
        <v>10</v>
      </c>
      <c r="C34" s="8"/>
    </row>
    <row r="35" spans="1:4" ht="12.75">
      <c r="A35" s="42" t="s">
        <v>61</v>
      </c>
      <c r="B35" s="43" t="s">
        <v>29</v>
      </c>
      <c r="C35" s="44">
        <f>E9</f>
        <v>48</v>
      </c>
      <c r="D35">
        <f>C35*1000</f>
        <v>48000</v>
      </c>
    </row>
    <row r="36" spans="1:4" ht="12.75">
      <c r="A36" s="42" t="s">
        <v>28</v>
      </c>
      <c r="B36" s="43" t="s">
        <v>29</v>
      </c>
      <c r="C36" s="44">
        <f>E10</f>
        <v>50</v>
      </c>
      <c r="D36">
        <f>C36*1000</f>
        <v>50000</v>
      </c>
    </row>
    <row r="37" ht="12.75">
      <c r="C37" s="8"/>
    </row>
    <row r="38" ht="12.75">
      <c r="A38" s="12" t="s">
        <v>11</v>
      </c>
    </row>
    <row r="39" spans="1:3" ht="12.75">
      <c r="A39" s="45" t="s">
        <v>19</v>
      </c>
      <c r="B39" s="46" t="s">
        <v>6</v>
      </c>
      <c r="C39" s="45">
        <v>40</v>
      </c>
    </row>
    <row r="40" spans="1:3" ht="12.75">
      <c r="A40" s="45" t="s">
        <v>51</v>
      </c>
      <c r="B40" s="46" t="s">
        <v>29</v>
      </c>
      <c r="C40" s="45">
        <f>E18</f>
        <v>80</v>
      </c>
    </row>
    <row r="41" spans="1:4" ht="12.75">
      <c r="A41" s="45" t="s">
        <v>62</v>
      </c>
      <c r="B41" s="46" t="s">
        <v>29</v>
      </c>
      <c r="C41" s="48">
        <f>C40*C43</f>
        <v>45.01668078378427</v>
      </c>
      <c r="D41" s="49">
        <f>C41*1000</f>
        <v>45016.680783784264</v>
      </c>
    </row>
    <row r="42" spans="1:3" ht="12.75">
      <c r="A42" s="10" t="s">
        <v>20</v>
      </c>
      <c r="B42" s="7" t="s">
        <v>17</v>
      </c>
      <c r="C42" s="23"/>
    </row>
    <row r="43" spans="1:3" ht="14.25" customHeight="1">
      <c r="A43" s="22" t="s">
        <v>23</v>
      </c>
      <c r="B43" s="21"/>
      <c r="C43" s="16">
        <f>(1-POWER(1+C29/100,-C28))/(1-POWER(1+C29/100,-C39))</f>
        <v>0.5627085097973034</v>
      </c>
    </row>
    <row r="44" spans="1:3" ht="12.75">
      <c r="A44" s="9"/>
      <c r="B44" s="7"/>
      <c r="C44" s="11"/>
    </row>
    <row r="45" spans="1:3" ht="12.75">
      <c r="A45" s="13" t="s">
        <v>12</v>
      </c>
      <c r="C45" s="11"/>
    </row>
    <row r="46" spans="1:3" ht="12.75">
      <c r="A46" s="9"/>
      <c r="C46" s="11"/>
    </row>
    <row r="47" spans="4:54" ht="15" thickBot="1">
      <c r="D47" s="28" t="s">
        <v>5</v>
      </c>
      <c r="E47" s="28">
        <f aca="true" t="shared" si="6" ref="E47:AJ47">E31</f>
        <v>1</v>
      </c>
      <c r="F47" s="28">
        <f t="shared" si="6"/>
        <v>2</v>
      </c>
      <c r="G47" s="28">
        <f t="shared" si="6"/>
        <v>3</v>
      </c>
      <c r="H47" s="28">
        <f t="shared" si="6"/>
        <v>4</v>
      </c>
      <c r="I47" s="28">
        <f t="shared" si="6"/>
        <v>5</v>
      </c>
      <c r="J47" s="28">
        <f t="shared" si="6"/>
        <v>6</v>
      </c>
      <c r="K47" s="28">
        <f t="shared" si="6"/>
        <v>7</v>
      </c>
      <c r="L47" s="28">
        <f t="shared" si="6"/>
        <v>8</v>
      </c>
      <c r="M47" s="28">
        <f t="shared" si="6"/>
        <v>9</v>
      </c>
      <c r="N47" s="28">
        <f t="shared" si="6"/>
        <v>10</v>
      </c>
      <c r="O47" s="28">
        <f t="shared" si="6"/>
      </c>
      <c r="P47" s="28">
        <f t="shared" si="6"/>
      </c>
      <c r="Q47" s="28">
        <f t="shared" si="6"/>
      </c>
      <c r="R47" s="28">
        <f t="shared" si="6"/>
      </c>
      <c r="S47" s="28">
        <f t="shared" si="6"/>
      </c>
      <c r="T47" s="28">
        <f t="shared" si="6"/>
      </c>
      <c r="U47" s="28">
        <f t="shared" si="6"/>
      </c>
      <c r="V47" s="28">
        <f t="shared" si="6"/>
      </c>
      <c r="W47" s="28">
        <f t="shared" si="6"/>
      </c>
      <c r="X47" s="28">
        <f t="shared" si="6"/>
      </c>
      <c r="Y47" s="28">
        <f t="shared" si="6"/>
      </c>
      <c r="Z47" s="28">
        <f t="shared" si="6"/>
      </c>
      <c r="AA47" s="28">
        <f t="shared" si="6"/>
      </c>
      <c r="AB47" s="28">
        <f t="shared" si="6"/>
      </c>
      <c r="AC47" s="28">
        <f t="shared" si="6"/>
      </c>
      <c r="AD47" s="28">
        <f t="shared" si="6"/>
      </c>
      <c r="AE47" s="28">
        <f t="shared" si="6"/>
      </c>
      <c r="AF47" s="28">
        <f t="shared" si="6"/>
      </c>
      <c r="AG47" s="28">
        <f t="shared" si="6"/>
      </c>
      <c r="AH47" s="28">
        <f t="shared" si="6"/>
      </c>
      <c r="AI47" s="28">
        <f t="shared" si="6"/>
      </c>
      <c r="AJ47" s="28">
        <f t="shared" si="6"/>
      </c>
      <c r="AK47" s="28">
        <f aca="true" t="shared" si="7" ref="AK47:BB47">AK31</f>
      </c>
      <c r="AL47" s="28">
        <f t="shared" si="7"/>
      </c>
      <c r="AM47" s="28">
        <f t="shared" si="7"/>
      </c>
      <c r="AN47" s="28">
        <f t="shared" si="7"/>
      </c>
      <c r="AO47" s="28">
        <f t="shared" si="7"/>
      </c>
      <c r="AP47" s="28">
        <f t="shared" si="7"/>
      </c>
      <c r="AQ47" s="28">
        <f t="shared" si="7"/>
      </c>
      <c r="AR47" s="28">
        <f t="shared" si="7"/>
      </c>
      <c r="AS47" s="28">
        <f t="shared" si="7"/>
      </c>
      <c r="AT47" s="28">
        <f t="shared" si="7"/>
      </c>
      <c r="AU47" s="28">
        <f t="shared" si="7"/>
      </c>
      <c r="AV47" s="28">
        <f t="shared" si="7"/>
      </c>
      <c r="AW47" s="28">
        <f t="shared" si="7"/>
      </c>
      <c r="AX47" s="28">
        <f t="shared" si="7"/>
      </c>
      <c r="AY47" s="28">
        <f t="shared" si="7"/>
      </c>
      <c r="AZ47" s="28">
        <f t="shared" si="7"/>
      </c>
      <c r="BA47" s="28">
        <f t="shared" si="7"/>
      </c>
      <c r="BB47" s="28">
        <f t="shared" si="7"/>
      </c>
    </row>
    <row r="48" spans="1:54" ht="19.5" thickBot="1">
      <c r="A48" s="25" t="s">
        <v>15</v>
      </c>
      <c r="B48" s="21" t="s">
        <v>17</v>
      </c>
      <c r="C48" s="15">
        <f>SUM(E48:BB48)</f>
        <v>-147973.4400897232</v>
      </c>
      <c r="D48" s="1"/>
      <c r="E48" s="26">
        <f aca="true" t="shared" si="8" ref="E48:AJ48">E49*E29</f>
        <v>-20418.894553072943</v>
      </c>
      <c r="F48" s="26">
        <f t="shared" si="8"/>
        <v>-18906.383845437907</v>
      </c>
      <c r="G48" s="26">
        <f t="shared" si="8"/>
        <v>-17505.91096799806</v>
      </c>
      <c r="H48" s="26">
        <f t="shared" si="8"/>
        <v>-16209.176822220426</v>
      </c>
      <c r="I48" s="26">
        <f t="shared" si="8"/>
        <v>-15008.497057611505</v>
      </c>
      <c r="J48" s="26">
        <f t="shared" si="8"/>
        <v>-13896.756534825467</v>
      </c>
      <c r="K48" s="26">
        <f t="shared" si="8"/>
        <v>-12867.36716187543</v>
      </c>
      <c r="L48" s="26">
        <f t="shared" si="8"/>
        <v>-11914.228853588362</v>
      </c>
      <c r="M48" s="26">
        <f t="shared" si="8"/>
        <v>-11031.693382952184</v>
      </c>
      <c r="N48" s="26">
        <f t="shared" si="8"/>
        <v>-10214.530910140911</v>
      </c>
      <c r="O48" s="26">
        <f t="shared" si="8"/>
        <v>0</v>
      </c>
      <c r="P48" s="26">
        <f t="shared" si="8"/>
        <v>0</v>
      </c>
      <c r="Q48" s="26">
        <f t="shared" si="8"/>
        <v>0</v>
      </c>
      <c r="R48" s="26">
        <f t="shared" si="8"/>
        <v>0</v>
      </c>
      <c r="S48" s="26">
        <f t="shared" si="8"/>
        <v>0</v>
      </c>
      <c r="T48" s="26">
        <f t="shared" si="8"/>
        <v>0</v>
      </c>
      <c r="U48" s="26">
        <f t="shared" si="8"/>
        <v>0</v>
      </c>
      <c r="V48" s="26">
        <f t="shared" si="8"/>
        <v>0</v>
      </c>
      <c r="W48" s="26">
        <f t="shared" si="8"/>
        <v>0</v>
      </c>
      <c r="X48" s="26">
        <f t="shared" si="8"/>
        <v>0</v>
      </c>
      <c r="Y48" s="26">
        <f t="shared" si="8"/>
        <v>0</v>
      </c>
      <c r="Z48" s="26">
        <f t="shared" si="8"/>
        <v>0</v>
      </c>
      <c r="AA48" s="26">
        <f t="shared" si="8"/>
        <v>0</v>
      </c>
      <c r="AB48" s="26">
        <f t="shared" si="8"/>
        <v>0</v>
      </c>
      <c r="AC48" s="26">
        <f t="shared" si="8"/>
        <v>0</v>
      </c>
      <c r="AD48" s="26">
        <f t="shared" si="8"/>
        <v>0</v>
      </c>
      <c r="AE48" s="26">
        <f t="shared" si="8"/>
        <v>0</v>
      </c>
      <c r="AF48" s="26">
        <f t="shared" si="8"/>
        <v>0</v>
      </c>
      <c r="AG48" s="26">
        <f t="shared" si="8"/>
        <v>0</v>
      </c>
      <c r="AH48" s="26">
        <f t="shared" si="8"/>
        <v>0</v>
      </c>
      <c r="AI48" s="26">
        <f t="shared" si="8"/>
        <v>0</v>
      </c>
      <c r="AJ48" s="26">
        <f t="shared" si="8"/>
        <v>0</v>
      </c>
      <c r="AK48" s="26">
        <f aca="true" t="shared" si="9" ref="AK48:BB48">AK49*AK29</f>
        <v>0</v>
      </c>
      <c r="AL48" s="26">
        <f t="shared" si="9"/>
        <v>0</v>
      </c>
      <c r="AM48" s="26">
        <f t="shared" si="9"/>
        <v>0</v>
      </c>
      <c r="AN48" s="26">
        <f t="shared" si="9"/>
        <v>0</v>
      </c>
      <c r="AO48" s="26">
        <f t="shared" si="9"/>
        <v>0</v>
      </c>
      <c r="AP48" s="26">
        <f t="shared" si="9"/>
        <v>0</v>
      </c>
      <c r="AQ48" s="26">
        <f t="shared" si="9"/>
        <v>0</v>
      </c>
      <c r="AR48" s="26">
        <f t="shared" si="9"/>
        <v>0</v>
      </c>
      <c r="AS48" s="26">
        <f t="shared" si="9"/>
        <v>0</v>
      </c>
      <c r="AT48" s="26">
        <f t="shared" si="9"/>
        <v>0</v>
      </c>
      <c r="AU48" s="26">
        <f t="shared" si="9"/>
        <v>0</v>
      </c>
      <c r="AV48" s="26">
        <f t="shared" si="9"/>
        <v>0</v>
      </c>
      <c r="AW48" s="26">
        <f t="shared" si="9"/>
        <v>0</v>
      </c>
      <c r="AX48" s="26">
        <f t="shared" si="9"/>
        <v>0</v>
      </c>
      <c r="AY48" s="26">
        <f t="shared" si="9"/>
        <v>0</v>
      </c>
      <c r="AZ48" s="26">
        <f t="shared" si="9"/>
        <v>0</v>
      </c>
      <c r="BA48" s="26">
        <f t="shared" si="9"/>
        <v>0</v>
      </c>
      <c r="BB48" s="26">
        <f t="shared" si="9"/>
        <v>0</v>
      </c>
    </row>
    <row r="49" spans="1:54" ht="15.75" thickBot="1">
      <c r="A49" s="29" t="s">
        <v>25</v>
      </c>
      <c r="B49" s="7" t="s">
        <v>17</v>
      </c>
      <c r="C49" s="15">
        <f>SUM(E49:BB49)</f>
        <v>-220524.0611731878</v>
      </c>
      <c r="E49" s="30">
        <f aca="true" t="shared" si="10" ref="E49:X49">E54+E58+E61-E67</f>
        <v>-22052.40611731878</v>
      </c>
      <c r="F49" s="30">
        <f t="shared" si="10"/>
        <v>-22052.40611731878</v>
      </c>
      <c r="G49" s="30">
        <f t="shared" si="10"/>
        <v>-22052.40611731878</v>
      </c>
      <c r="H49" s="30">
        <f t="shared" si="10"/>
        <v>-22052.40611731878</v>
      </c>
      <c r="I49" s="30">
        <f t="shared" si="10"/>
        <v>-22052.40611731878</v>
      </c>
      <c r="J49" s="30">
        <f t="shared" si="10"/>
        <v>-22052.40611731878</v>
      </c>
      <c r="K49" s="30">
        <f t="shared" si="10"/>
        <v>-22052.40611731878</v>
      </c>
      <c r="L49" s="30">
        <f t="shared" si="10"/>
        <v>-22052.40611731878</v>
      </c>
      <c r="M49" s="30">
        <f t="shared" si="10"/>
        <v>-22052.40611731878</v>
      </c>
      <c r="N49" s="30">
        <f t="shared" si="10"/>
        <v>-22052.40611731878</v>
      </c>
      <c r="O49" s="30">
        <f t="shared" si="10"/>
        <v>0</v>
      </c>
      <c r="P49" s="30">
        <f t="shared" si="10"/>
        <v>0</v>
      </c>
      <c r="Q49" s="30">
        <f t="shared" si="10"/>
        <v>0</v>
      </c>
      <c r="R49" s="30">
        <f t="shared" si="10"/>
        <v>0</v>
      </c>
      <c r="S49" s="30">
        <f t="shared" si="10"/>
        <v>0</v>
      </c>
      <c r="T49" s="30">
        <f t="shared" si="10"/>
        <v>0</v>
      </c>
      <c r="U49" s="30">
        <f t="shared" si="10"/>
        <v>0</v>
      </c>
      <c r="V49" s="30">
        <f t="shared" si="10"/>
        <v>0</v>
      </c>
      <c r="W49" s="30">
        <f t="shared" si="10"/>
        <v>0</v>
      </c>
      <c r="X49" s="30">
        <f t="shared" si="10"/>
        <v>0</v>
      </c>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row>
    <row r="50" ht="12.75">
      <c r="A50" s="12" t="s">
        <v>13</v>
      </c>
    </row>
    <row r="51" spans="1:3" ht="12.75">
      <c r="A51" s="42" t="s">
        <v>66</v>
      </c>
      <c r="B51" s="46" t="s">
        <v>39</v>
      </c>
      <c r="C51" s="45">
        <f>E8*E16*24/1000</f>
        <v>669.6</v>
      </c>
    </row>
    <row r="52" spans="1:3" ht="12.75">
      <c r="A52" s="42" t="s">
        <v>67</v>
      </c>
      <c r="B52" s="46" t="s">
        <v>39</v>
      </c>
      <c r="C52" s="45">
        <f>E8/2*E17*24/1000</f>
        <v>322.2</v>
      </c>
    </row>
    <row r="53" spans="1:3" ht="12.75">
      <c r="A53" s="42" t="s">
        <v>64</v>
      </c>
      <c r="B53" s="46" t="s">
        <v>41</v>
      </c>
      <c r="C53" s="47">
        <f>(C51/(E14/100)+C52/(E14/100))*859845*4.187/E12/1000</f>
        <v>246.5713899868105</v>
      </c>
    </row>
    <row r="54" spans="1:14" ht="12.75">
      <c r="A54" s="42" t="s">
        <v>65</v>
      </c>
      <c r="B54" s="46" t="s">
        <v>42</v>
      </c>
      <c r="C54" s="47">
        <f>C53*E11</f>
        <v>117.12141024373497</v>
      </c>
      <c r="E54">
        <f>C54*1000</f>
        <v>117121.41024373496</v>
      </c>
      <c r="F54">
        <f aca="true" t="shared" si="11" ref="F54:N54">E54</f>
        <v>117121.41024373496</v>
      </c>
      <c r="G54">
        <f t="shared" si="11"/>
        <v>117121.41024373496</v>
      </c>
      <c r="H54">
        <f t="shared" si="11"/>
        <v>117121.41024373496</v>
      </c>
      <c r="I54">
        <f t="shared" si="11"/>
        <v>117121.41024373496</v>
      </c>
      <c r="J54">
        <f t="shared" si="11"/>
        <v>117121.41024373496</v>
      </c>
      <c r="K54">
        <f t="shared" si="11"/>
        <v>117121.41024373496</v>
      </c>
      <c r="L54">
        <f t="shared" si="11"/>
        <v>117121.41024373496</v>
      </c>
      <c r="M54">
        <f t="shared" si="11"/>
        <v>117121.41024373496</v>
      </c>
      <c r="N54">
        <f t="shared" si="11"/>
        <v>117121.41024373496</v>
      </c>
    </row>
    <row r="55" ht="12.75">
      <c r="A55" s="12"/>
    </row>
    <row r="56" ht="12.75">
      <c r="A56" s="12" t="s">
        <v>14</v>
      </c>
    </row>
    <row r="57" spans="1:3" ht="12.75">
      <c r="A57" s="42" t="s">
        <v>68</v>
      </c>
      <c r="B57" s="46" t="s">
        <v>44</v>
      </c>
      <c r="C57" s="45">
        <f>E21*E16*24+E21/2*E17*24</f>
        <v>9918</v>
      </c>
    </row>
    <row r="58" spans="1:14" ht="12.75">
      <c r="A58" s="42" t="s">
        <v>45</v>
      </c>
      <c r="B58" s="46" t="s">
        <v>46</v>
      </c>
      <c r="C58" s="48">
        <f>C57*E22/100</f>
        <v>3610.152</v>
      </c>
      <c r="E58">
        <f>C58</f>
        <v>3610.152</v>
      </c>
      <c r="F58">
        <f aca="true" t="shared" si="12" ref="F58:N58">E58</f>
        <v>3610.152</v>
      </c>
      <c r="G58">
        <f t="shared" si="12"/>
        <v>3610.152</v>
      </c>
      <c r="H58">
        <f t="shared" si="12"/>
        <v>3610.152</v>
      </c>
      <c r="I58">
        <f t="shared" si="12"/>
        <v>3610.152</v>
      </c>
      <c r="J58">
        <f t="shared" si="12"/>
        <v>3610.152</v>
      </c>
      <c r="K58">
        <f t="shared" si="12"/>
        <v>3610.152</v>
      </c>
      <c r="L58">
        <f t="shared" si="12"/>
        <v>3610.152</v>
      </c>
      <c r="M58">
        <f t="shared" si="12"/>
        <v>3610.152</v>
      </c>
      <c r="N58">
        <f t="shared" si="12"/>
        <v>3610.152</v>
      </c>
    </row>
    <row r="59" ht="12.75">
      <c r="B59" s="7"/>
    </row>
    <row r="60" spans="1:2" ht="12.75">
      <c r="A60" s="12" t="s">
        <v>18</v>
      </c>
      <c r="B60" s="7"/>
    </row>
    <row r="61" spans="1:14" ht="12.75">
      <c r="A61" s="42" t="s">
        <v>70</v>
      </c>
      <c r="B61" s="46" t="s">
        <v>46</v>
      </c>
      <c r="C61" s="45">
        <f>E23*0.5*1.34*12</f>
        <v>14472</v>
      </c>
      <c r="E61">
        <f>C61</f>
        <v>14472</v>
      </c>
      <c r="F61">
        <f aca="true" t="shared" si="13" ref="F61:N61">E61</f>
        <v>14472</v>
      </c>
      <c r="G61">
        <f t="shared" si="13"/>
        <v>14472</v>
      </c>
      <c r="H61">
        <f t="shared" si="13"/>
        <v>14472</v>
      </c>
      <c r="I61">
        <f t="shared" si="13"/>
        <v>14472</v>
      </c>
      <c r="J61">
        <f t="shared" si="13"/>
        <v>14472</v>
      </c>
      <c r="K61">
        <f t="shared" si="13"/>
        <v>14472</v>
      </c>
      <c r="L61">
        <f t="shared" si="13"/>
        <v>14472</v>
      </c>
      <c r="M61">
        <f t="shared" si="13"/>
        <v>14472</v>
      </c>
      <c r="N61">
        <f t="shared" si="13"/>
        <v>14472</v>
      </c>
    </row>
    <row r="62" ht="12.75">
      <c r="B62" s="7"/>
    </row>
    <row r="63" spans="1:2" ht="12.75">
      <c r="A63" s="12" t="s">
        <v>16</v>
      </c>
      <c r="B63" s="7"/>
    </row>
    <row r="64" spans="1:2" ht="12.75">
      <c r="A64" s="5"/>
      <c r="B64" s="7"/>
    </row>
    <row r="65" spans="1:2" ht="12.75">
      <c r="A65" s="52" t="s">
        <v>48</v>
      </c>
      <c r="B65" s="7"/>
    </row>
    <row r="66" spans="1:3" ht="12.75">
      <c r="A66" s="42" t="s">
        <v>49</v>
      </c>
      <c r="B66" s="46" t="s">
        <v>41</v>
      </c>
      <c r="C66" s="48">
        <f>(C51+C52)/(E19/100)*859845/E20/1000</f>
        <v>88.09858171487603</v>
      </c>
    </row>
    <row r="67" spans="1:14" ht="12.75">
      <c r="A67" s="42" t="s">
        <v>50</v>
      </c>
      <c r="B67" s="46" t="s">
        <v>42</v>
      </c>
      <c r="C67" s="48">
        <f>C66*E15/1000</f>
        <v>157.25596836105373</v>
      </c>
      <c r="E67">
        <f>C67*1000</f>
        <v>157255.96836105373</v>
      </c>
      <c r="F67">
        <f aca="true" t="shared" si="14" ref="F67:N67">E67</f>
        <v>157255.96836105373</v>
      </c>
      <c r="G67">
        <f t="shared" si="14"/>
        <v>157255.96836105373</v>
      </c>
      <c r="H67">
        <f t="shared" si="14"/>
        <v>157255.96836105373</v>
      </c>
      <c r="I67">
        <f t="shared" si="14"/>
        <v>157255.96836105373</v>
      </c>
      <c r="J67">
        <f t="shared" si="14"/>
        <v>157255.96836105373</v>
      </c>
      <c r="K67">
        <f t="shared" si="14"/>
        <v>157255.96836105373</v>
      </c>
      <c r="L67">
        <f t="shared" si="14"/>
        <v>157255.96836105373</v>
      </c>
      <c r="M67">
        <f t="shared" si="14"/>
        <v>157255.96836105373</v>
      </c>
      <c r="N67">
        <f t="shared" si="14"/>
        <v>157255.96836105373</v>
      </c>
    </row>
    <row r="68" ht="12.75">
      <c r="A68" s="5"/>
    </row>
    <row r="69" ht="13.5" thickBot="1"/>
    <row r="70" spans="1:3" ht="15.75" thickBot="1">
      <c r="A70" s="19" t="s">
        <v>74</v>
      </c>
      <c r="B70" s="17" t="s">
        <v>7</v>
      </c>
      <c r="C70" s="15">
        <f>(C51+C52)*1000</f>
        <v>991800</v>
      </c>
    </row>
    <row r="71" spans="1:3" ht="12.75">
      <c r="A71" s="6"/>
      <c r="B71" s="7"/>
      <c r="C71" s="2"/>
    </row>
    <row r="72" ht="13.5" thickBot="1"/>
    <row r="73" spans="1:3" ht="33" thickBot="1" thickTop="1">
      <c r="A73" s="54" t="s">
        <v>73</v>
      </c>
      <c r="B73" s="37" t="s">
        <v>8</v>
      </c>
      <c r="C73" s="64">
        <f>IF(C70&gt;0,C31*100/C70*C29/100/(1-POWER(1+C29/100,-C28)),"")</f>
        <v>-0.07448107531342543</v>
      </c>
    </row>
    <row r="74" ht="13.5" thickTop="1"/>
  </sheetData>
  <sheetProtection/>
  <mergeCells count="22">
    <mergeCell ref="A23:C23"/>
    <mergeCell ref="A24:C24"/>
    <mergeCell ref="A15:C15"/>
    <mergeCell ref="A12:C12"/>
    <mergeCell ref="A14:C14"/>
    <mergeCell ref="A17:C17"/>
    <mergeCell ref="A25:C25"/>
    <mergeCell ref="A18:C18"/>
    <mergeCell ref="A20:C20"/>
    <mergeCell ref="A21:C21"/>
    <mergeCell ref="A22:C22"/>
    <mergeCell ref="A19:C19"/>
    <mergeCell ref="A2:D2"/>
    <mergeCell ref="A1:D1"/>
    <mergeCell ref="A6:I6"/>
    <mergeCell ref="A7:C7"/>
    <mergeCell ref="A8:C8"/>
    <mergeCell ref="A16:C16"/>
    <mergeCell ref="A9:C9"/>
    <mergeCell ref="A10:C10"/>
    <mergeCell ref="A11:C11"/>
    <mergeCell ref="A13:C13"/>
  </mergeCells>
  <printOptions gridLines="1"/>
  <pageMargins left="1.26" right="0.37" top="0.68" bottom="0.63" header="0.5" footer="0.5"/>
  <pageSetup fitToHeight="1" fitToWidth="1" horizontalDpi="200" verticalDpi="200" orientation="portrait" scale="6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73"/>
  <sheetViews>
    <sheetView zoomScalePageLayoutView="0" workbookViewId="0" topLeftCell="A55">
      <selection activeCell="C73" sqref="C73"/>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67" t="s">
        <v>27</v>
      </c>
      <c r="B1" s="68"/>
      <c r="C1" s="66"/>
      <c r="D1" s="66"/>
      <c r="E1" s="1"/>
    </row>
    <row r="2" spans="1:5" ht="24" customHeight="1">
      <c r="A2" s="65" t="s">
        <v>52</v>
      </c>
      <c r="B2" s="66"/>
      <c r="C2" s="66"/>
      <c r="D2" s="66"/>
      <c r="E2" s="1"/>
    </row>
    <row r="3" spans="1:5" ht="24" customHeight="1">
      <c r="A3" s="55" t="s">
        <v>76</v>
      </c>
      <c r="B3" s="56"/>
      <c r="C3" s="56"/>
      <c r="D3" s="56"/>
      <c r="E3" s="1"/>
    </row>
    <row r="4" spans="1:5" ht="12" customHeight="1">
      <c r="A4" s="4"/>
      <c r="B4" s="1"/>
      <c r="C4" s="1"/>
      <c r="D4" s="1"/>
      <c r="E4" s="1"/>
    </row>
    <row r="5" spans="1:5" ht="12" customHeight="1" thickBot="1">
      <c r="A5" s="24" t="s">
        <v>4</v>
      </c>
      <c r="B5" s="1"/>
      <c r="C5" s="1"/>
      <c r="D5" s="1"/>
      <c r="E5" s="1"/>
    </row>
    <row r="6" spans="1:9" ht="72.75" customHeight="1" thickBot="1">
      <c r="A6" s="69" t="s">
        <v>72</v>
      </c>
      <c r="B6" s="70"/>
      <c r="C6" s="70"/>
      <c r="D6" s="70"/>
      <c r="E6" s="70"/>
      <c r="F6" s="70"/>
      <c r="G6" s="70"/>
      <c r="H6" s="70"/>
      <c r="I6" s="71"/>
    </row>
    <row r="7" spans="1:9" ht="15" customHeight="1" thickBot="1">
      <c r="A7" s="72" t="s">
        <v>26</v>
      </c>
      <c r="B7" s="73"/>
      <c r="C7" s="74"/>
      <c r="D7" s="35" t="s">
        <v>1</v>
      </c>
      <c r="E7" s="32"/>
      <c r="F7" s="32"/>
      <c r="G7" s="32"/>
      <c r="H7" s="32"/>
      <c r="I7" s="32"/>
    </row>
    <row r="8" spans="1:9" ht="15" customHeight="1" thickTop="1">
      <c r="A8" s="75" t="s">
        <v>53</v>
      </c>
      <c r="B8" s="76"/>
      <c r="C8" s="77"/>
      <c r="D8" s="33" t="s">
        <v>30</v>
      </c>
      <c r="E8" s="41">
        <v>150</v>
      </c>
      <c r="F8" s="32"/>
      <c r="G8" s="32"/>
      <c r="H8" s="32"/>
      <c r="I8" s="32"/>
    </row>
    <row r="9" spans="1:9" ht="15" customHeight="1">
      <c r="A9" s="78" t="s">
        <v>58</v>
      </c>
      <c r="B9" s="79"/>
      <c r="C9" s="80"/>
      <c r="D9" s="33" t="s">
        <v>29</v>
      </c>
      <c r="E9" s="51">
        <v>48</v>
      </c>
      <c r="F9" s="32"/>
      <c r="G9" s="32"/>
      <c r="H9" s="32"/>
      <c r="I9" s="32"/>
    </row>
    <row r="10" spans="1:9" ht="15" customHeight="1">
      <c r="A10" s="78" t="s">
        <v>28</v>
      </c>
      <c r="B10" s="81"/>
      <c r="C10" s="80"/>
      <c r="D10" s="33" t="s">
        <v>29</v>
      </c>
      <c r="E10" s="53">
        <v>50</v>
      </c>
      <c r="F10" s="32"/>
      <c r="G10" s="32"/>
      <c r="H10" s="32"/>
      <c r="I10" s="32"/>
    </row>
    <row r="11" spans="1:9" ht="15" customHeight="1">
      <c r="A11" s="78" t="s">
        <v>54</v>
      </c>
      <c r="B11" s="79"/>
      <c r="C11" s="80"/>
      <c r="D11" s="33" t="s">
        <v>31</v>
      </c>
      <c r="E11" s="41">
        <v>0.475</v>
      </c>
      <c r="F11" s="32"/>
      <c r="G11" s="32"/>
      <c r="H11" s="32"/>
      <c r="I11" s="32"/>
    </row>
    <row r="12" spans="1:9" ht="15" customHeight="1">
      <c r="A12" s="78" t="s">
        <v>55</v>
      </c>
      <c r="B12" s="81"/>
      <c r="C12" s="80"/>
      <c r="D12" s="33" t="s">
        <v>59</v>
      </c>
      <c r="E12" s="41">
        <v>17660</v>
      </c>
      <c r="F12" s="32"/>
      <c r="G12" s="32"/>
      <c r="H12" s="32"/>
      <c r="I12" s="32"/>
    </row>
    <row r="13" spans="1:9" ht="15" customHeight="1">
      <c r="A13" s="78" t="s">
        <v>56</v>
      </c>
      <c r="B13" s="79"/>
      <c r="C13" s="80"/>
      <c r="D13" s="33" t="s">
        <v>32</v>
      </c>
      <c r="E13" s="51">
        <v>10</v>
      </c>
      <c r="F13" s="32"/>
      <c r="G13" s="32"/>
      <c r="H13" s="32"/>
      <c r="I13" s="32"/>
    </row>
    <row r="14" spans="1:9" ht="15" customHeight="1">
      <c r="A14" s="78" t="s">
        <v>57</v>
      </c>
      <c r="B14" s="81"/>
      <c r="C14" s="80"/>
      <c r="D14" s="33" t="s">
        <v>3</v>
      </c>
      <c r="E14" s="51">
        <v>82</v>
      </c>
      <c r="F14" s="32"/>
      <c r="G14" s="32"/>
      <c r="H14" s="32"/>
      <c r="I14" s="32"/>
    </row>
    <row r="15" spans="1:9" ht="15" customHeight="1">
      <c r="A15" s="78" t="s">
        <v>33</v>
      </c>
      <c r="B15" s="79"/>
      <c r="C15" s="80"/>
      <c r="D15" s="33" t="s">
        <v>34</v>
      </c>
      <c r="E15" s="41">
        <v>1785</v>
      </c>
      <c r="F15" s="32"/>
      <c r="G15" s="32"/>
      <c r="H15" s="32"/>
      <c r="I15" s="32"/>
    </row>
    <row r="16" spans="1:9" ht="15" customHeight="1">
      <c r="A16" s="78" t="s">
        <v>60</v>
      </c>
      <c r="B16" s="79"/>
      <c r="C16" s="80"/>
      <c r="D16" s="33" t="s">
        <v>35</v>
      </c>
      <c r="E16" s="41">
        <v>186</v>
      </c>
      <c r="F16" s="32"/>
      <c r="G16" s="32"/>
      <c r="H16" s="32"/>
      <c r="I16" s="32"/>
    </row>
    <row r="17" spans="1:9" ht="15" customHeight="1">
      <c r="A17" s="78" t="s">
        <v>63</v>
      </c>
      <c r="B17" s="79"/>
      <c r="C17" s="80"/>
      <c r="D17" s="33" t="s">
        <v>35</v>
      </c>
      <c r="E17" s="41">
        <f>365-E16</f>
        <v>179</v>
      </c>
      <c r="F17" s="32"/>
      <c r="G17" s="32"/>
      <c r="H17" s="32"/>
      <c r="I17" s="32"/>
    </row>
    <row r="18" spans="1:9" ht="15" customHeight="1">
      <c r="A18" s="78" t="s">
        <v>36</v>
      </c>
      <c r="B18" s="79"/>
      <c r="C18" s="80"/>
      <c r="D18" s="33" t="s">
        <v>29</v>
      </c>
      <c r="E18" s="41">
        <v>80</v>
      </c>
      <c r="F18" s="32"/>
      <c r="G18" s="32"/>
      <c r="H18" s="32"/>
      <c r="I18" s="32"/>
    </row>
    <row r="19" spans="1:9" ht="15" customHeight="1">
      <c r="A19" s="78" t="s">
        <v>40</v>
      </c>
      <c r="B19" s="81"/>
      <c r="C19" s="80"/>
      <c r="D19" s="33" t="s">
        <v>3</v>
      </c>
      <c r="E19" s="41">
        <v>88</v>
      </c>
      <c r="F19" s="32"/>
      <c r="G19" s="32"/>
      <c r="H19" s="32"/>
      <c r="I19" s="32"/>
    </row>
    <row r="20" spans="1:9" ht="15" customHeight="1">
      <c r="A20" s="78" t="s">
        <v>38</v>
      </c>
      <c r="B20" s="79"/>
      <c r="C20" s="80"/>
      <c r="D20" s="33" t="s">
        <v>37</v>
      </c>
      <c r="E20" s="41">
        <v>11000</v>
      </c>
      <c r="F20" s="32"/>
      <c r="G20" s="32"/>
      <c r="H20" s="32"/>
      <c r="I20" s="32"/>
    </row>
    <row r="21" spans="1:9" ht="15" customHeight="1">
      <c r="A21" s="78" t="s">
        <v>69</v>
      </c>
      <c r="B21" s="79"/>
      <c r="C21" s="80"/>
      <c r="D21" s="33" t="s">
        <v>30</v>
      </c>
      <c r="E21" s="41">
        <v>1.5</v>
      </c>
      <c r="F21" s="32"/>
      <c r="G21" s="32"/>
      <c r="H21" s="32"/>
      <c r="I21" s="32"/>
    </row>
    <row r="22" spans="1:9" ht="15" customHeight="1">
      <c r="A22" s="78" t="s">
        <v>43</v>
      </c>
      <c r="B22" s="79"/>
      <c r="C22" s="80"/>
      <c r="D22" s="33" t="s">
        <v>8</v>
      </c>
      <c r="E22" s="41">
        <v>36.4</v>
      </c>
      <c r="F22" s="32"/>
      <c r="G22" s="32"/>
      <c r="H22" s="32"/>
      <c r="I22" s="32"/>
    </row>
    <row r="23" spans="1:9" ht="15" customHeight="1">
      <c r="A23" s="78" t="s">
        <v>71</v>
      </c>
      <c r="B23" s="79"/>
      <c r="C23" s="80"/>
      <c r="D23" s="33" t="s">
        <v>47</v>
      </c>
      <c r="E23" s="41">
        <v>1800</v>
      </c>
      <c r="F23" s="32"/>
      <c r="G23" s="32"/>
      <c r="H23" s="32"/>
      <c r="I23" s="32"/>
    </row>
    <row r="24" spans="1:9" ht="15" customHeight="1">
      <c r="A24" s="78"/>
      <c r="B24" s="79"/>
      <c r="C24" s="80"/>
      <c r="D24" s="32"/>
      <c r="E24" s="41"/>
      <c r="F24" s="32"/>
      <c r="G24" s="32"/>
      <c r="H24" s="32"/>
      <c r="I24" s="32"/>
    </row>
    <row r="25" spans="1:9" ht="15" customHeight="1" thickBot="1">
      <c r="A25" s="82"/>
      <c r="B25" s="83"/>
      <c r="C25" s="84"/>
      <c r="D25" s="32"/>
      <c r="E25" s="32"/>
      <c r="F25" s="32"/>
      <c r="G25" s="32"/>
      <c r="H25" s="32"/>
      <c r="I25" s="32"/>
    </row>
    <row r="26" spans="1:9" ht="15" customHeight="1" thickBot="1">
      <c r="A26" s="31"/>
      <c r="B26" s="36"/>
      <c r="C26" s="36"/>
      <c r="D26" s="32"/>
      <c r="E26" s="32"/>
      <c r="F26" s="32"/>
      <c r="G26" s="32"/>
      <c r="H26" s="32"/>
      <c r="I26" s="32"/>
    </row>
    <row r="27" spans="1:3" ht="14.25" thickBot="1" thickTop="1">
      <c r="A27" s="34" t="s">
        <v>0</v>
      </c>
      <c r="B27" s="3" t="s">
        <v>1</v>
      </c>
      <c r="C27" s="2"/>
    </row>
    <row r="28" spans="1:3" ht="25.5" customHeight="1" thickTop="1">
      <c r="A28" s="18" t="s">
        <v>22</v>
      </c>
      <c r="B28" s="38" t="s">
        <v>6</v>
      </c>
      <c r="C28" s="39">
        <f>E13</f>
        <v>10</v>
      </c>
    </row>
    <row r="29" spans="1:54" ht="15" thickBot="1">
      <c r="A29" s="16" t="s">
        <v>2</v>
      </c>
      <c r="B29" s="38" t="s">
        <v>3</v>
      </c>
      <c r="C29" s="40">
        <v>8</v>
      </c>
      <c r="D29" s="14">
        <v>1</v>
      </c>
      <c r="E29" s="14">
        <f>1/(1+C29/100)</f>
        <v>0.9259259259259258</v>
      </c>
      <c r="F29" s="14">
        <f aca="true" t="shared" si="0" ref="F29:AK29">E29/(1+$C29/100)</f>
        <v>0.8573388203017831</v>
      </c>
      <c r="G29" s="14">
        <f t="shared" si="0"/>
        <v>0.7938322410201695</v>
      </c>
      <c r="H29" s="14">
        <f t="shared" si="0"/>
        <v>0.7350298527964532</v>
      </c>
      <c r="I29" s="14">
        <f t="shared" si="0"/>
        <v>0.6805831970337529</v>
      </c>
      <c r="J29" s="14">
        <f t="shared" si="0"/>
        <v>0.6301696268831045</v>
      </c>
      <c r="K29" s="14">
        <f t="shared" si="0"/>
        <v>0.5834903952621338</v>
      </c>
      <c r="L29" s="14">
        <f t="shared" si="0"/>
        <v>0.5402688845019756</v>
      </c>
      <c r="M29" s="14">
        <f t="shared" si="0"/>
        <v>0.5002489671314588</v>
      </c>
      <c r="N29" s="14">
        <f t="shared" si="0"/>
        <v>0.4631934880846841</v>
      </c>
      <c r="O29" s="14">
        <f t="shared" si="0"/>
        <v>0.4288828593376704</v>
      </c>
      <c r="P29" s="14">
        <f t="shared" si="0"/>
        <v>0.3971137586459911</v>
      </c>
      <c r="Q29" s="14">
        <f t="shared" si="0"/>
        <v>0.36769792467221396</v>
      </c>
      <c r="R29" s="14">
        <f t="shared" si="0"/>
        <v>0.3404610413631611</v>
      </c>
      <c r="S29" s="14">
        <f t="shared" si="0"/>
        <v>0.3152417049658899</v>
      </c>
      <c r="T29" s="14">
        <f t="shared" si="0"/>
        <v>0.2918904675610091</v>
      </c>
      <c r="U29" s="14">
        <f t="shared" si="0"/>
        <v>0.27026895144537877</v>
      </c>
      <c r="V29" s="14">
        <f t="shared" si="0"/>
        <v>0.2502490291160914</v>
      </c>
      <c r="W29" s="14">
        <f t="shared" si="0"/>
        <v>0.23171206399638095</v>
      </c>
      <c r="X29" s="14">
        <f t="shared" si="0"/>
        <v>0.21454820740405642</v>
      </c>
      <c r="Y29" s="14">
        <f t="shared" si="0"/>
        <v>0.19865574759634852</v>
      </c>
      <c r="Z29" s="14">
        <f t="shared" si="0"/>
        <v>0.18394050703365603</v>
      </c>
      <c r="AA29" s="14">
        <f t="shared" si="0"/>
        <v>0.17031528429042223</v>
      </c>
      <c r="AB29" s="14">
        <f t="shared" si="0"/>
        <v>0.15769933730594649</v>
      </c>
      <c r="AC29" s="14">
        <f t="shared" si="0"/>
        <v>0.14601790491291342</v>
      </c>
      <c r="AD29" s="14">
        <f t="shared" si="0"/>
        <v>0.13520176380825316</v>
      </c>
      <c r="AE29" s="14">
        <f t="shared" si="0"/>
        <v>0.12518681834097514</v>
      </c>
      <c r="AF29" s="14">
        <f t="shared" si="0"/>
        <v>0.11591372068608809</v>
      </c>
      <c r="AG29" s="14">
        <f t="shared" si="0"/>
        <v>0.10732751915378526</v>
      </c>
      <c r="AH29" s="14">
        <f t="shared" si="0"/>
        <v>0.09937733254980116</v>
      </c>
      <c r="AI29" s="14">
        <f t="shared" si="0"/>
        <v>0.09201604865722329</v>
      </c>
      <c r="AJ29" s="14">
        <f t="shared" si="0"/>
        <v>0.08520004505298452</v>
      </c>
      <c r="AK29" s="14">
        <f t="shared" si="0"/>
        <v>0.0788889306046153</v>
      </c>
      <c r="AL29" s="14">
        <f aca="true" t="shared" si="1" ref="AL29:BB29">AK29/(1+$C29/100)</f>
        <v>0.07304530611538453</v>
      </c>
      <c r="AM29" s="14">
        <f t="shared" si="1"/>
        <v>0.06763454269943012</v>
      </c>
      <c r="AN29" s="14">
        <f t="shared" si="1"/>
        <v>0.0626245765735464</v>
      </c>
      <c r="AO29" s="14">
        <f t="shared" si="1"/>
        <v>0.057985719049580005</v>
      </c>
      <c r="AP29" s="14">
        <f t="shared" si="1"/>
        <v>0.05369048060146296</v>
      </c>
      <c r="AQ29" s="14">
        <f t="shared" si="1"/>
        <v>0.04971340796431755</v>
      </c>
      <c r="AR29" s="14">
        <f t="shared" si="1"/>
        <v>0.04603093330029402</v>
      </c>
      <c r="AS29" s="14">
        <f t="shared" si="1"/>
        <v>0.042621234537309274</v>
      </c>
      <c r="AT29" s="14">
        <f t="shared" si="1"/>
        <v>0.03946410605306414</v>
      </c>
      <c r="AU29" s="14">
        <f t="shared" si="1"/>
        <v>0.03654083893802235</v>
      </c>
      <c r="AV29" s="14">
        <f t="shared" si="1"/>
        <v>0.033834110127798474</v>
      </c>
      <c r="AW29" s="14">
        <f t="shared" si="1"/>
        <v>0.03132787974796155</v>
      </c>
      <c r="AX29" s="14">
        <f t="shared" si="1"/>
        <v>0.02900729606292736</v>
      </c>
      <c r="AY29" s="14">
        <f t="shared" si="1"/>
        <v>0.02685860746567348</v>
      </c>
      <c r="AZ29" s="14">
        <f t="shared" si="1"/>
        <v>0.0248690809867347</v>
      </c>
      <c r="BA29" s="14">
        <f t="shared" si="1"/>
        <v>0.023026926839569164</v>
      </c>
      <c r="BB29" s="14">
        <f t="shared" si="1"/>
        <v>0.02132122855515663</v>
      </c>
    </row>
    <row r="30" ht="15" thickBot="1">
      <c r="D30" s="28" t="s">
        <v>5</v>
      </c>
    </row>
    <row r="31" spans="1:54" ht="15.75" thickBot="1">
      <c r="A31" s="19" t="s">
        <v>21</v>
      </c>
      <c r="B31" s="17" t="s">
        <v>17</v>
      </c>
      <c r="C31" s="15">
        <f>C32+C48</f>
        <v>-76465.09969783109</v>
      </c>
      <c r="D31" s="28">
        <v>0</v>
      </c>
      <c r="E31" s="28">
        <f aca="true" t="shared" si="2" ref="E31:AJ31">IF(D31&lt;$C28,D31+1,"")</f>
        <v>1</v>
      </c>
      <c r="F31" s="28">
        <f t="shared" si="2"/>
        <v>2</v>
      </c>
      <c r="G31" s="28">
        <f t="shared" si="2"/>
        <v>3</v>
      </c>
      <c r="H31" s="28">
        <f t="shared" si="2"/>
        <v>4</v>
      </c>
      <c r="I31" s="28">
        <f t="shared" si="2"/>
        <v>5</v>
      </c>
      <c r="J31" s="28">
        <f t="shared" si="2"/>
        <v>6</v>
      </c>
      <c r="K31" s="28">
        <f t="shared" si="2"/>
        <v>7</v>
      </c>
      <c r="L31" s="28">
        <f t="shared" si="2"/>
        <v>8</v>
      </c>
      <c r="M31" s="28">
        <f t="shared" si="2"/>
        <v>9</v>
      </c>
      <c r="N31" s="28">
        <f t="shared" si="2"/>
        <v>10</v>
      </c>
      <c r="O31" s="28">
        <f t="shared" si="2"/>
      </c>
      <c r="P31" s="28">
        <f t="shared" si="2"/>
      </c>
      <c r="Q31" s="28">
        <f t="shared" si="2"/>
      </c>
      <c r="R31" s="28">
        <f t="shared" si="2"/>
      </c>
      <c r="S31" s="28">
        <f t="shared" si="2"/>
      </c>
      <c r="T31" s="28">
        <f t="shared" si="2"/>
      </c>
      <c r="U31" s="28">
        <f t="shared" si="2"/>
      </c>
      <c r="V31" s="28">
        <f t="shared" si="2"/>
      </c>
      <c r="W31" s="28">
        <f t="shared" si="2"/>
      </c>
      <c r="X31" s="28">
        <f t="shared" si="2"/>
      </c>
      <c r="Y31" s="28">
        <f t="shared" si="2"/>
      </c>
      <c r="Z31" s="28">
        <f t="shared" si="2"/>
      </c>
      <c r="AA31" s="28">
        <f t="shared" si="2"/>
      </c>
      <c r="AB31" s="28">
        <f t="shared" si="2"/>
      </c>
      <c r="AC31" s="28">
        <f t="shared" si="2"/>
      </c>
      <c r="AD31" s="28">
        <f t="shared" si="2"/>
      </c>
      <c r="AE31" s="28">
        <f t="shared" si="2"/>
      </c>
      <c r="AF31" s="28">
        <f t="shared" si="2"/>
      </c>
      <c r="AG31" s="28">
        <f t="shared" si="2"/>
      </c>
      <c r="AH31" s="28">
        <f t="shared" si="2"/>
      </c>
      <c r="AI31" s="28">
        <f t="shared" si="2"/>
      </c>
      <c r="AJ31" s="28">
        <f t="shared" si="2"/>
      </c>
      <c r="AK31" s="28">
        <f aca="true" t="shared" si="3" ref="AK31:BB31">IF(AJ31&lt;$C28,AJ31+1,"")</f>
      </c>
      <c r="AL31" s="28">
        <f t="shared" si="3"/>
      </c>
      <c r="AM31" s="28">
        <f t="shared" si="3"/>
      </c>
      <c r="AN31" s="28">
        <f t="shared" si="3"/>
      </c>
      <c r="AO31" s="28">
        <f t="shared" si="3"/>
      </c>
      <c r="AP31" s="28">
        <f t="shared" si="3"/>
      </c>
      <c r="AQ31" s="28">
        <f t="shared" si="3"/>
      </c>
      <c r="AR31" s="28">
        <f t="shared" si="3"/>
      </c>
      <c r="AS31" s="28">
        <f t="shared" si="3"/>
      </c>
      <c r="AT31" s="28">
        <f t="shared" si="3"/>
      </c>
      <c r="AU31" s="28">
        <f t="shared" si="3"/>
      </c>
      <c r="AV31" s="28">
        <f t="shared" si="3"/>
      </c>
      <c r="AW31" s="28">
        <f t="shared" si="3"/>
      </c>
      <c r="AX31" s="28">
        <f t="shared" si="3"/>
      </c>
      <c r="AY31" s="28">
        <f t="shared" si="3"/>
      </c>
      <c r="AZ31" s="28">
        <f t="shared" si="3"/>
      </c>
      <c r="BA31" s="28">
        <f t="shared" si="3"/>
      </c>
      <c r="BB31" s="28">
        <f t="shared" si="3"/>
      </c>
    </row>
    <row r="32" spans="1:54" ht="19.5" thickBot="1">
      <c r="A32" s="25" t="s">
        <v>9</v>
      </c>
      <c r="B32" s="20" t="s">
        <v>17</v>
      </c>
      <c r="C32" s="15">
        <f>SUM(D32:BB32)</f>
        <v>71508.34039189212</v>
      </c>
      <c r="D32" s="26">
        <f aca="true" t="shared" si="4" ref="D32:AI32">D33*D29</f>
        <v>71508.34039189212</v>
      </c>
      <c r="E32" s="26">
        <f t="shared" si="4"/>
        <v>0</v>
      </c>
      <c r="F32" s="26">
        <f t="shared" si="4"/>
        <v>0</v>
      </c>
      <c r="G32" s="26">
        <f t="shared" si="4"/>
        <v>0</v>
      </c>
      <c r="H32" s="26">
        <f t="shared" si="4"/>
        <v>0</v>
      </c>
      <c r="I32" s="26">
        <f t="shared" si="4"/>
        <v>0</v>
      </c>
      <c r="J32" s="26">
        <f t="shared" si="4"/>
        <v>0</v>
      </c>
      <c r="K32" s="26">
        <f t="shared" si="4"/>
        <v>0</v>
      </c>
      <c r="L32" s="26">
        <f t="shared" si="4"/>
        <v>0</v>
      </c>
      <c r="M32" s="26">
        <f t="shared" si="4"/>
        <v>0</v>
      </c>
      <c r="N32" s="26">
        <f t="shared" si="4"/>
        <v>0</v>
      </c>
      <c r="O32" s="26">
        <f t="shared" si="4"/>
        <v>0</v>
      </c>
      <c r="P32" s="26">
        <f t="shared" si="4"/>
        <v>0</v>
      </c>
      <c r="Q32" s="26">
        <f t="shared" si="4"/>
        <v>0</v>
      </c>
      <c r="R32" s="26">
        <f t="shared" si="4"/>
        <v>0</v>
      </c>
      <c r="S32" s="26">
        <f t="shared" si="4"/>
        <v>0</v>
      </c>
      <c r="T32" s="26">
        <f t="shared" si="4"/>
        <v>0</v>
      </c>
      <c r="U32" s="26">
        <f t="shared" si="4"/>
        <v>0</v>
      </c>
      <c r="V32" s="26">
        <f t="shared" si="4"/>
        <v>0</v>
      </c>
      <c r="W32" s="26">
        <f t="shared" si="4"/>
        <v>0</v>
      </c>
      <c r="X32" s="26">
        <f t="shared" si="4"/>
        <v>0</v>
      </c>
      <c r="Y32" s="26">
        <f t="shared" si="4"/>
        <v>0</v>
      </c>
      <c r="Z32" s="26">
        <f t="shared" si="4"/>
        <v>0</v>
      </c>
      <c r="AA32" s="26">
        <f t="shared" si="4"/>
        <v>0</v>
      </c>
      <c r="AB32" s="26">
        <f t="shared" si="4"/>
        <v>0</v>
      </c>
      <c r="AC32" s="26">
        <f t="shared" si="4"/>
        <v>0</v>
      </c>
      <c r="AD32" s="26">
        <f t="shared" si="4"/>
        <v>0</v>
      </c>
      <c r="AE32" s="26">
        <f t="shared" si="4"/>
        <v>0</v>
      </c>
      <c r="AF32" s="26">
        <f t="shared" si="4"/>
        <v>0</v>
      </c>
      <c r="AG32" s="26">
        <f t="shared" si="4"/>
        <v>0</v>
      </c>
      <c r="AH32" s="26">
        <f t="shared" si="4"/>
        <v>0</v>
      </c>
      <c r="AI32" s="26">
        <f t="shared" si="4"/>
        <v>0</v>
      </c>
      <c r="AJ32" s="26">
        <f aca="true" t="shared" si="5" ref="AJ32:BB32">AJ33*AJ29</f>
        <v>0</v>
      </c>
      <c r="AK32" s="26">
        <f t="shared" si="5"/>
        <v>0</v>
      </c>
      <c r="AL32" s="26">
        <f t="shared" si="5"/>
        <v>0</v>
      </c>
      <c r="AM32" s="26">
        <f t="shared" si="5"/>
        <v>0</v>
      </c>
      <c r="AN32" s="26">
        <f t="shared" si="5"/>
        <v>0</v>
      </c>
      <c r="AO32" s="26">
        <f t="shared" si="5"/>
        <v>0</v>
      </c>
      <c r="AP32" s="26">
        <f t="shared" si="5"/>
        <v>0</v>
      </c>
      <c r="AQ32" s="26">
        <f t="shared" si="5"/>
        <v>0</v>
      </c>
      <c r="AR32" s="26">
        <f t="shared" si="5"/>
        <v>0</v>
      </c>
      <c r="AS32" s="26">
        <f t="shared" si="5"/>
        <v>0</v>
      </c>
      <c r="AT32" s="26">
        <f t="shared" si="5"/>
        <v>0</v>
      </c>
      <c r="AU32" s="26">
        <f t="shared" si="5"/>
        <v>0</v>
      </c>
      <c r="AV32" s="26">
        <f t="shared" si="5"/>
        <v>0</v>
      </c>
      <c r="AW32" s="26">
        <f t="shared" si="5"/>
        <v>0</v>
      </c>
      <c r="AX32" s="26">
        <f t="shared" si="5"/>
        <v>0</v>
      </c>
      <c r="AY32" s="26">
        <f t="shared" si="5"/>
        <v>0</v>
      </c>
      <c r="AZ32" s="26">
        <f t="shared" si="5"/>
        <v>0</v>
      </c>
      <c r="BA32" s="26">
        <f t="shared" si="5"/>
        <v>0</v>
      </c>
      <c r="BB32" s="26">
        <f t="shared" si="5"/>
        <v>0</v>
      </c>
    </row>
    <row r="33" spans="1:54" ht="14.25" customHeight="1">
      <c r="A33" s="29" t="s">
        <v>24</v>
      </c>
      <c r="B33" s="27" t="s">
        <v>17</v>
      </c>
      <c r="C33" s="11"/>
      <c r="D33" s="50">
        <f>D35+D36+D41</f>
        <v>71508.34039189212</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row>
    <row r="34" spans="1:3" ht="12.75">
      <c r="A34" s="12" t="s">
        <v>10</v>
      </c>
      <c r="C34" s="8"/>
    </row>
    <row r="35" spans="1:4" ht="12.75">
      <c r="A35" s="42" t="s">
        <v>61</v>
      </c>
      <c r="B35" s="43" t="s">
        <v>29</v>
      </c>
      <c r="C35" s="44">
        <f>E9</f>
        <v>48</v>
      </c>
      <c r="D35" s="57">
        <f>C35*1000*0.5</f>
        <v>24000</v>
      </c>
    </row>
    <row r="36" spans="1:4" ht="12.75">
      <c r="A36" s="42" t="s">
        <v>28</v>
      </c>
      <c r="B36" s="43" t="s">
        <v>29</v>
      </c>
      <c r="C36" s="44">
        <f>E10</f>
        <v>50</v>
      </c>
      <c r="D36" s="57">
        <f>C36*1000*0.5</f>
        <v>25000</v>
      </c>
    </row>
    <row r="37" ht="12.75">
      <c r="C37" s="8"/>
    </row>
    <row r="38" ht="12.75">
      <c r="A38" s="12" t="s">
        <v>11</v>
      </c>
    </row>
    <row r="39" spans="1:3" ht="12.75">
      <c r="A39" s="45" t="s">
        <v>19</v>
      </c>
      <c r="B39" s="46" t="s">
        <v>6</v>
      </c>
      <c r="C39" s="45">
        <v>40</v>
      </c>
    </row>
    <row r="40" spans="1:3" ht="12.75">
      <c r="A40" s="45" t="s">
        <v>51</v>
      </c>
      <c r="B40" s="46" t="s">
        <v>29</v>
      </c>
      <c r="C40" s="45">
        <f>E18</f>
        <v>80</v>
      </c>
    </row>
    <row r="41" spans="1:4" ht="12.75">
      <c r="A41" s="45" t="s">
        <v>62</v>
      </c>
      <c r="B41" s="46" t="s">
        <v>29</v>
      </c>
      <c r="C41" s="48">
        <f>C40*C43</f>
        <v>45.01668078378427</v>
      </c>
      <c r="D41" s="58">
        <f>C41*1000*0.5</f>
        <v>22508.340391892132</v>
      </c>
    </row>
    <row r="42" spans="1:3" ht="12.75">
      <c r="A42" s="10" t="s">
        <v>20</v>
      </c>
      <c r="B42" s="7" t="s">
        <v>17</v>
      </c>
      <c r="C42" s="23"/>
    </row>
    <row r="43" spans="1:3" ht="14.25" customHeight="1">
      <c r="A43" s="22" t="s">
        <v>23</v>
      </c>
      <c r="B43" s="21"/>
      <c r="C43" s="16">
        <f>(1-POWER(1+C29/100,-C28))/(1-POWER(1+C29/100,-C39))</f>
        <v>0.5627085097973034</v>
      </c>
    </row>
    <row r="44" spans="1:3" ht="12.75">
      <c r="A44" s="9"/>
      <c r="B44" s="7"/>
      <c r="C44" s="11"/>
    </row>
    <row r="45" spans="1:3" ht="12.75">
      <c r="A45" s="13" t="s">
        <v>12</v>
      </c>
      <c r="C45" s="11"/>
    </row>
    <row r="46" spans="1:3" ht="12.75">
      <c r="A46" s="9"/>
      <c r="C46" s="11"/>
    </row>
    <row r="47" spans="4:54" ht="15" thickBot="1">
      <c r="D47" s="28" t="s">
        <v>5</v>
      </c>
      <c r="E47" s="28">
        <f aca="true" t="shared" si="6" ref="E47:AJ47">E31</f>
        <v>1</v>
      </c>
      <c r="F47" s="28">
        <f t="shared" si="6"/>
        <v>2</v>
      </c>
      <c r="G47" s="28">
        <f t="shared" si="6"/>
        <v>3</v>
      </c>
      <c r="H47" s="28">
        <f t="shared" si="6"/>
        <v>4</v>
      </c>
      <c r="I47" s="28">
        <f t="shared" si="6"/>
        <v>5</v>
      </c>
      <c r="J47" s="28">
        <f t="shared" si="6"/>
        <v>6</v>
      </c>
      <c r="K47" s="28">
        <f t="shared" si="6"/>
        <v>7</v>
      </c>
      <c r="L47" s="28">
        <f t="shared" si="6"/>
        <v>8</v>
      </c>
      <c r="M47" s="28">
        <f t="shared" si="6"/>
        <v>9</v>
      </c>
      <c r="N47" s="28">
        <f t="shared" si="6"/>
        <v>10</v>
      </c>
      <c r="O47" s="28">
        <f t="shared" si="6"/>
      </c>
      <c r="P47" s="28">
        <f t="shared" si="6"/>
      </c>
      <c r="Q47" s="28">
        <f t="shared" si="6"/>
      </c>
      <c r="R47" s="28">
        <f t="shared" si="6"/>
      </c>
      <c r="S47" s="28">
        <f t="shared" si="6"/>
      </c>
      <c r="T47" s="28">
        <f t="shared" si="6"/>
      </c>
      <c r="U47" s="28">
        <f t="shared" si="6"/>
      </c>
      <c r="V47" s="28">
        <f t="shared" si="6"/>
      </c>
      <c r="W47" s="28">
        <f t="shared" si="6"/>
      </c>
      <c r="X47" s="28">
        <f t="shared" si="6"/>
      </c>
      <c r="Y47" s="28">
        <f t="shared" si="6"/>
      </c>
      <c r="Z47" s="28">
        <f t="shared" si="6"/>
      </c>
      <c r="AA47" s="28">
        <f t="shared" si="6"/>
      </c>
      <c r="AB47" s="28">
        <f t="shared" si="6"/>
      </c>
      <c r="AC47" s="28">
        <f t="shared" si="6"/>
      </c>
      <c r="AD47" s="28">
        <f t="shared" si="6"/>
      </c>
      <c r="AE47" s="28">
        <f t="shared" si="6"/>
      </c>
      <c r="AF47" s="28">
        <f t="shared" si="6"/>
      </c>
      <c r="AG47" s="28">
        <f t="shared" si="6"/>
      </c>
      <c r="AH47" s="28">
        <f t="shared" si="6"/>
      </c>
      <c r="AI47" s="28">
        <f t="shared" si="6"/>
      </c>
      <c r="AJ47" s="28">
        <f t="shared" si="6"/>
      </c>
      <c r="AK47" s="28">
        <f aca="true" t="shared" si="7" ref="AK47:BB47">AK31</f>
      </c>
      <c r="AL47" s="28">
        <f t="shared" si="7"/>
      </c>
      <c r="AM47" s="28">
        <f t="shared" si="7"/>
      </c>
      <c r="AN47" s="28">
        <f t="shared" si="7"/>
      </c>
      <c r="AO47" s="28">
        <f t="shared" si="7"/>
      </c>
      <c r="AP47" s="28">
        <f t="shared" si="7"/>
      </c>
      <c r="AQ47" s="28">
        <f t="shared" si="7"/>
      </c>
      <c r="AR47" s="28">
        <f t="shared" si="7"/>
      </c>
      <c r="AS47" s="28">
        <f t="shared" si="7"/>
      </c>
      <c r="AT47" s="28">
        <f t="shared" si="7"/>
      </c>
      <c r="AU47" s="28">
        <f t="shared" si="7"/>
      </c>
      <c r="AV47" s="28">
        <f t="shared" si="7"/>
      </c>
      <c r="AW47" s="28">
        <f t="shared" si="7"/>
      </c>
      <c r="AX47" s="28">
        <f t="shared" si="7"/>
      </c>
      <c r="AY47" s="28">
        <f t="shared" si="7"/>
      </c>
      <c r="AZ47" s="28">
        <f t="shared" si="7"/>
      </c>
      <c r="BA47" s="28">
        <f t="shared" si="7"/>
      </c>
      <c r="BB47" s="28">
        <f t="shared" si="7"/>
      </c>
    </row>
    <row r="48" spans="1:54" ht="19.5" thickBot="1">
      <c r="A48" s="25" t="s">
        <v>15</v>
      </c>
      <c r="B48" s="21" t="s">
        <v>17</v>
      </c>
      <c r="C48" s="15">
        <f>SUM(E48:BB48)</f>
        <v>-147973.4400897232</v>
      </c>
      <c r="D48" s="1"/>
      <c r="E48" s="26">
        <f aca="true" t="shared" si="8" ref="E48:AJ48">E49*E29</f>
        <v>-20418.894553072943</v>
      </c>
      <c r="F48" s="26">
        <f t="shared" si="8"/>
        <v>-18906.383845437907</v>
      </c>
      <c r="G48" s="26">
        <f t="shared" si="8"/>
        <v>-17505.91096799806</v>
      </c>
      <c r="H48" s="26">
        <f t="shared" si="8"/>
        <v>-16209.176822220426</v>
      </c>
      <c r="I48" s="26">
        <f t="shared" si="8"/>
        <v>-15008.497057611505</v>
      </c>
      <c r="J48" s="26">
        <f t="shared" si="8"/>
        <v>-13896.756534825467</v>
      </c>
      <c r="K48" s="26">
        <f t="shared" si="8"/>
        <v>-12867.36716187543</v>
      </c>
      <c r="L48" s="26">
        <f t="shared" si="8"/>
        <v>-11914.228853588362</v>
      </c>
      <c r="M48" s="26">
        <f t="shared" si="8"/>
        <v>-11031.693382952184</v>
      </c>
      <c r="N48" s="26">
        <f t="shared" si="8"/>
        <v>-10214.530910140911</v>
      </c>
      <c r="O48" s="26">
        <f t="shared" si="8"/>
        <v>0</v>
      </c>
      <c r="P48" s="26">
        <f t="shared" si="8"/>
        <v>0</v>
      </c>
      <c r="Q48" s="26">
        <f t="shared" si="8"/>
        <v>0</v>
      </c>
      <c r="R48" s="26">
        <f t="shared" si="8"/>
        <v>0</v>
      </c>
      <c r="S48" s="26">
        <f t="shared" si="8"/>
        <v>0</v>
      </c>
      <c r="T48" s="26">
        <f t="shared" si="8"/>
        <v>0</v>
      </c>
      <c r="U48" s="26">
        <f t="shared" si="8"/>
        <v>0</v>
      </c>
      <c r="V48" s="26">
        <f t="shared" si="8"/>
        <v>0</v>
      </c>
      <c r="W48" s="26">
        <f t="shared" si="8"/>
        <v>0</v>
      </c>
      <c r="X48" s="26">
        <f t="shared" si="8"/>
        <v>0</v>
      </c>
      <c r="Y48" s="26">
        <f t="shared" si="8"/>
        <v>0</v>
      </c>
      <c r="Z48" s="26">
        <f t="shared" si="8"/>
        <v>0</v>
      </c>
      <c r="AA48" s="26">
        <f t="shared" si="8"/>
        <v>0</v>
      </c>
      <c r="AB48" s="26">
        <f t="shared" si="8"/>
        <v>0</v>
      </c>
      <c r="AC48" s="26">
        <f t="shared" si="8"/>
        <v>0</v>
      </c>
      <c r="AD48" s="26">
        <f t="shared" si="8"/>
        <v>0</v>
      </c>
      <c r="AE48" s="26">
        <f t="shared" si="8"/>
        <v>0</v>
      </c>
      <c r="AF48" s="26">
        <f t="shared" si="8"/>
        <v>0</v>
      </c>
      <c r="AG48" s="26">
        <f t="shared" si="8"/>
        <v>0</v>
      </c>
      <c r="AH48" s="26">
        <f t="shared" si="8"/>
        <v>0</v>
      </c>
      <c r="AI48" s="26">
        <f t="shared" si="8"/>
        <v>0</v>
      </c>
      <c r="AJ48" s="26">
        <f t="shared" si="8"/>
        <v>0</v>
      </c>
      <c r="AK48" s="26">
        <f aca="true" t="shared" si="9" ref="AK48:BB48">AK49*AK29</f>
        <v>0</v>
      </c>
      <c r="AL48" s="26">
        <f t="shared" si="9"/>
        <v>0</v>
      </c>
      <c r="AM48" s="26">
        <f t="shared" si="9"/>
        <v>0</v>
      </c>
      <c r="AN48" s="26">
        <f t="shared" si="9"/>
        <v>0</v>
      </c>
      <c r="AO48" s="26">
        <f t="shared" si="9"/>
        <v>0</v>
      </c>
      <c r="AP48" s="26">
        <f t="shared" si="9"/>
        <v>0</v>
      </c>
      <c r="AQ48" s="26">
        <f t="shared" si="9"/>
        <v>0</v>
      </c>
      <c r="AR48" s="26">
        <f t="shared" si="9"/>
        <v>0</v>
      </c>
      <c r="AS48" s="26">
        <f t="shared" si="9"/>
        <v>0</v>
      </c>
      <c r="AT48" s="26">
        <f t="shared" si="9"/>
        <v>0</v>
      </c>
      <c r="AU48" s="26">
        <f t="shared" si="9"/>
        <v>0</v>
      </c>
      <c r="AV48" s="26">
        <f t="shared" si="9"/>
        <v>0</v>
      </c>
      <c r="AW48" s="26">
        <f t="shared" si="9"/>
        <v>0</v>
      </c>
      <c r="AX48" s="26">
        <f t="shared" si="9"/>
        <v>0</v>
      </c>
      <c r="AY48" s="26">
        <f t="shared" si="9"/>
        <v>0</v>
      </c>
      <c r="AZ48" s="26">
        <f t="shared" si="9"/>
        <v>0</v>
      </c>
      <c r="BA48" s="26">
        <f t="shared" si="9"/>
        <v>0</v>
      </c>
      <c r="BB48" s="26">
        <f t="shared" si="9"/>
        <v>0</v>
      </c>
    </row>
    <row r="49" spans="1:54" ht="15.75" thickBot="1">
      <c r="A49" s="29" t="s">
        <v>25</v>
      </c>
      <c r="B49" s="7" t="s">
        <v>17</v>
      </c>
      <c r="C49" s="15">
        <f>SUM(E49:BB49)</f>
        <v>-220524.0611731878</v>
      </c>
      <c r="E49" s="30">
        <f aca="true" t="shared" si="10" ref="E49:X49">E54+E58+E61-E67</f>
        <v>-22052.40611731878</v>
      </c>
      <c r="F49" s="30">
        <f t="shared" si="10"/>
        <v>-22052.40611731878</v>
      </c>
      <c r="G49" s="30">
        <f t="shared" si="10"/>
        <v>-22052.40611731878</v>
      </c>
      <c r="H49" s="30">
        <f t="shared" si="10"/>
        <v>-22052.40611731878</v>
      </c>
      <c r="I49" s="30">
        <f t="shared" si="10"/>
        <v>-22052.40611731878</v>
      </c>
      <c r="J49" s="30">
        <f t="shared" si="10"/>
        <v>-22052.40611731878</v>
      </c>
      <c r="K49" s="30">
        <f t="shared" si="10"/>
        <v>-22052.40611731878</v>
      </c>
      <c r="L49" s="30">
        <f t="shared" si="10"/>
        <v>-22052.40611731878</v>
      </c>
      <c r="M49" s="30">
        <f t="shared" si="10"/>
        <v>-22052.40611731878</v>
      </c>
      <c r="N49" s="30">
        <f t="shared" si="10"/>
        <v>-22052.40611731878</v>
      </c>
      <c r="O49" s="30">
        <f t="shared" si="10"/>
        <v>0</v>
      </c>
      <c r="P49" s="30">
        <f t="shared" si="10"/>
        <v>0</v>
      </c>
      <c r="Q49" s="30">
        <f t="shared" si="10"/>
        <v>0</v>
      </c>
      <c r="R49" s="30">
        <f t="shared" si="10"/>
        <v>0</v>
      </c>
      <c r="S49" s="30">
        <f t="shared" si="10"/>
        <v>0</v>
      </c>
      <c r="T49" s="30">
        <f t="shared" si="10"/>
        <v>0</v>
      </c>
      <c r="U49" s="30">
        <f t="shared" si="10"/>
        <v>0</v>
      </c>
      <c r="V49" s="30">
        <f t="shared" si="10"/>
        <v>0</v>
      </c>
      <c r="W49" s="30">
        <f t="shared" si="10"/>
        <v>0</v>
      </c>
      <c r="X49" s="30">
        <f t="shared" si="10"/>
        <v>0</v>
      </c>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row>
    <row r="50" ht="12.75">
      <c r="A50" s="12" t="s">
        <v>13</v>
      </c>
    </row>
    <row r="51" spans="1:3" ht="12.75">
      <c r="A51" s="42" t="s">
        <v>66</v>
      </c>
      <c r="B51" s="46" t="s">
        <v>39</v>
      </c>
      <c r="C51" s="45">
        <f>E8*E16*24/1000</f>
        <v>669.6</v>
      </c>
    </row>
    <row r="52" spans="1:3" ht="12.75">
      <c r="A52" s="42" t="s">
        <v>67</v>
      </c>
      <c r="B52" s="46" t="s">
        <v>39</v>
      </c>
      <c r="C52" s="45">
        <f>E8/2*E17*24/1000</f>
        <v>322.2</v>
      </c>
    </row>
    <row r="53" spans="1:3" ht="12.75">
      <c r="A53" s="42" t="s">
        <v>64</v>
      </c>
      <c r="B53" s="46" t="s">
        <v>41</v>
      </c>
      <c r="C53" s="47">
        <f>(C51/(E14/100)+C52/(E14/100))*859845*4.187/E12/1000</f>
        <v>246.5713899868105</v>
      </c>
    </row>
    <row r="54" spans="1:14" ht="12.75">
      <c r="A54" s="42" t="s">
        <v>65</v>
      </c>
      <c r="B54" s="46" t="s">
        <v>42</v>
      </c>
      <c r="C54" s="47">
        <f>C53*E11</f>
        <v>117.12141024373497</v>
      </c>
      <c r="E54">
        <f>C54*1000</f>
        <v>117121.41024373496</v>
      </c>
      <c r="F54">
        <f aca="true" t="shared" si="11" ref="F54:N54">E54</f>
        <v>117121.41024373496</v>
      </c>
      <c r="G54">
        <f t="shared" si="11"/>
        <v>117121.41024373496</v>
      </c>
      <c r="H54">
        <f t="shared" si="11"/>
        <v>117121.41024373496</v>
      </c>
      <c r="I54">
        <f t="shared" si="11"/>
        <v>117121.41024373496</v>
      </c>
      <c r="J54">
        <f t="shared" si="11"/>
        <v>117121.41024373496</v>
      </c>
      <c r="K54">
        <f t="shared" si="11"/>
        <v>117121.41024373496</v>
      </c>
      <c r="L54">
        <f t="shared" si="11"/>
        <v>117121.41024373496</v>
      </c>
      <c r="M54">
        <f t="shared" si="11"/>
        <v>117121.41024373496</v>
      </c>
      <c r="N54">
        <f t="shared" si="11"/>
        <v>117121.41024373496</v>
      </c>
    </row>
    <row r="55" ht="12.75">
      <c r="A55" s="12"/>
    </row>
    <row r="56" ht="12.75">
      <c r="A56" s="12" t="s">
        <v>14</v>
      </c>
    </row>
    <row r="57" spans="1:3" ht="12.75">
      <c r="A57" s="42" t="s">
        <v>68</v>
      </c>
      <c r="B57" s="46" t="s">
        <v>44</v>
      </c>
      <c r="C57" s="45">
        <f>E21*E16*24+E21/2*E17*24</f>
        <v>9918</v>
      </c>
    </row>
    <row r="58" spans="1:14" ht="12.75">
      <c r="A58" s="42" t="s">
        <v>45</v>
      </c>
      <c r="B58" s="46" t="s">
        <v>46</v>
      </c>
      <c r="C58" s="48">
        <f>C57*E22/100</f>
        <v>3610.152</v>
      </c>
      <c r="E58">
        <f>C58</f>
        <v>3610.152</v>
      </c>
      <c r="F58">
        <f aca="true" t="shared" si="12" ref="F58:N58">E58</f>
        <v>3610.152</v>
      </c>
      <c r="G58">
        <f t="shared" si="12"/>
        <v>3610.152</v>
      </c>
      <c r="H58">
        <f t="shared" si="12"/>
        <v>3610.152</v>
      </c>
      <c r="I58">
        <f t="shared" si="12"/>
        <v>3610.152</v>
      </c>
      <c r="J58">
        <f t="shared" si="12"/>
        <v>3610.152</v>
      </c>
      <c r="K58">
        <f t="shared" si="12"/>
        <v>3610.152</v>
      </c>
      <c r="L58">
        <f t="shared" si="12"/>
        <v>3610.152</v>
      </c>
      <c r="M58">
        <f t="shared" si="12"/>
        <v>3610.152</v>
      </c>
      <c r="N58">
        <f t="shared" si="12"/>
        <v>3610.152</v>
      </c>
    </row>
    <row r="59" ht="12.75">
      <c r="B59" s="7"/>
    </row>
    <row r="60" spans="1:2" ht="12.75">
      <c r="A60" s="12" t="s">
        <v>18</v>
      </c>
      <c r="B60" s="7"/>
    </row>
    <row r="61" spans="1:14" ht="12.75">
      <c r="A61" s="42" t="s">
        <v>70</v>
      </c>
      <c r="B61" s="46" t="s">
        <v>46</v>
      </c>
      <c r="C61" s="45">
        <f>E23*0.5*1.34*12</f>
        <v>14472</v>
      </c>
      <c r="E61">
        <f>C61</f>
        <v>14472</v>
      </c>
      <c r="F61">
        <f aca="true" t="shared" si="13" ref="F61:N61">E61</f>
        <v>14472</v>
      </c>
      <c r="G61">
        <f t="shared" si="13"/>
        <v>14472</v>
      </c>
      <c r="H61">
        <f t="shared" si="13"/>
        <v>14472</v>
      </c>
      <c r="I61">
        <f t="shared" si="13"/>
        <v>14472</v>
      </c>
      <c r="J61">
        <f t="shared" si="13"/>
        <v>14472</v>
      </c>
      <c r="K61">
        <f t="shared" si="13"/>
        <v>14472</v>
      </c>
      <c r="L61">
        <f t="shared" si="13"/>
        <v>14472</v>
      </c>
      <c r="M61">
        <f t="shared" si="13"/>
        <v>14472</v>
      </c>
      <c r="N61">
        <f t="shared" si="13"/>
        <v>14472</v>
      </c>
    </row>
    <row r="62" ht="12.75">
      <c r="B62" s="7"/>
    </row>
    <row r="63" spans="1:2" ht="12.75">
      <c r="A63" s="12" t="s">
        <v>16</v>
      </c>
      <c r="B63" s="7"/>
    </row>
    <row r="64" spans="1:2" ht="12.75">
      <c r="A64" s="5"/>
      <c r="B64" s="7"/>
    </row>
    <row r="65" spans="1:2" ht="12.75">
      <c r="A65" s="52" t="s">
        <v>48</v>
      </c>
      <c r="B65" s="7"/>
    </row>
    <row r="66" spans="1:3" ht="12.75">
      <c r="A66" s="42" t="s">
        <v>49</v>
      </c>
      <c r="B66" s="46" t="s">
        <v>41</v>
      </c>
      <c r="C66" s="48">
        <f>(C51+C52)/(E19/100)*859845/E20/1000</f>
        <v>88.09858171487603</v>
      </c>
    </row>
    <row r="67" spans="1:14" ht="12.75">
      <c r="A67" s="42" t="s">
        <v>50</v>
      </c>
      <c r="B67" s="46" t="s">
        <v>42</v>
      </c>
      <c r="C67" s="48">
        <f>C66*E15/1000</f>
        <v>157.25596836105373</v>
      </c>
      <c r="E67">
        <f>C67*1000</f>
        <v>157255.96836105373</v>
      </c>
      <c r="F67">
        <f aca="true" t="shared" si="14" ref="F67:N67">E67</f>
        <v>157255.96836105373</v>
      </c>
      <c r="G67">
        <f t="shared" si="14"/>
        <v>157255.96836105373</v>
      </c>
      <c r="H67">
        <f t="shared" si="14"/>
        <v>157255.96836105373</v>
      </c>
      <c r="I67">
        <f t="shared" si="14"/>
        <v>157255.96836105373</v>
      </c>
      <c r="J67">
        <f t="shared" si="14"/>
        <v>157255.96836105373</v>
      </c>
      <c r="K67">
        <f t="shared" si="14"/>
        <v>157255.96836105373</v>
      </c>
      <c r="L67">
        <f t="shared" si="14"/>
        <v>157255.96836105373</v>
      </c>
      <c r="M67">
        <f t="shared" si="14"/>
        <v>157255.96836105373</v>
      </c>
      <c r="N67">
        <f t="shared" si="14"/>
        <v>157255.96836105373</v>
      </c>
    </row>
    <row r="68" ht="12.75">
      <c r="A68" s="5"/>
    </row>
    <row r="69" ht="13.5" thickBot="1"/>
    <row r="70" spans="1:3" ht="15.75" thickBot="1">
      <c r="A70" s="19" t="s">
        <v>74</v>
      </c>
      <c r="B70" s="17" t="s">
        <v>7</v>
      </c>
      <c r="C70" s="15">
        <f>(C51+C52)*1000</f>
        <v>991800</v>
      </c>
    </row>
    <row r="71" spans="1:3" ht="12.75">
      <c r="A71" s="6"/>
      <c r="B71" s="7"/>
      <c r="C71" s="2"/>
    </row>
    <row r="72" ht="13.5" thickBot="1"/>
    <row r="73" spans="1:3" ht="33" thickBot="1" thickTop="1">
      <c r="A73" s="54" t="s">
        <v>73</v>
      </c>
      <c r="B73" s="37" t="s">
        <v>8</v>
      </c>
      <c r="C73" s="64">
        <f>IF(C70&gt;0,C31*100/C70*C29/100/(1-POWER(1+C29/100,-C28)),"")</f>
        <v>-1.1489770831960735</v>
      </c>
    </row>
    <row r="74" ht="13.5" thickTop="1"/>
  </sheetData>
  <sheetProtection/>
  <mergeCells count="22">
    <mergeCell ref="A23:C23"/>
    <mergeCell ref="A24:C24"/>
    <mergeCell ref="A15:C15"/>
    <mergeCell ref="A12:C12"/>
    <mergeCell ref="A14:C14"/>
    <mergeCell ref="A17:C17"/>
    <mergeCell ref="A25:C25"/>
    <mergeCell ref="A18:C18"/>
    <mergeCell ref="A20:C20"/>
    <mergeCell ref="A21:C21"/>
    <mergeCell ref="A22:C22"/>
    <mergeCell ref="A19:C19"/>
    <mergeCell ref="A2:D2"/>
    <mergeCell ref="A1:D1"/>
    <mergeCell ref="A6:I6"/>
    <mergeCell ref="A7:C7"/>
    <mergeCell ref="A8:C8"/>
    <mergeCell ref="A16:C16"/>
    <mergeCell ref="A9:C9"/>
    <mergeCell ref="A10:C10"/>
    <mergeCell ref="A11:C11"/>
    <mergeCell ref="A13:C13"/>
  </mergeCells>
  <printOptions gridLines="1"/>
  <pageMargins left="1.26" right="0.37" top="0.68" bottom="0.63" header="0.5" footer="0.5"/>
  <pageSetup fitToHeight="1" fitToWidth="1" horizontalDpi="200" verticalDpi="200" orientation="portrait" scale="6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B73"/>
  <sheetViews>
    <sheetView zoomScalePageLayoutView="0" workbookViewId="0" topLeftCell="A51">
      <selection activeCell="C73" sqref="C73"/>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67" t="s">
        <v>27</v>
      </c>
      <c r="B1" s="68"/>
      <c r="C1" s="66"/>
      <c r="D1" s="66"/>
      <c r="E1" s="1"/>
    </row>
    <row r="2" spans="1:5" ht="24" customHeight="1">
      <c r="A2" s="65" t="s">
        <v>52</v>
      </c>
      <c r="B2" s="66"/>
      <c r="C2" s="66"/>
      <c r="D2" s="66"/>
      <c r="E2" s="1"/>
    </row>
    <row r="3" spans="1:5" ht="24" customHeight="1">
      <c r="A3" s="55" t="s">
        <v>77</v>
      </c>
      <c r="B3" s="56"/>
      <c r="C3" s="56"/>
      <c r="D3" s="56"/>
      <c r="E3" s="1"/>
    </row>
    <row r="4" spans="1:5" ht="12" customHeight="1">
      <c r="A4" s="4"/>
      <c r="B4" s="1"/>
      <c r="C4" s="1"/>
      <c r="D4" s="1"/>
      <c r="E4" s="1"/>
    </row>
    <row r="5" spans="1:5" ht="12" customHeight="1" thickBot="1">
      <c r="A5" s="24" t="s">
        <v>4</v>
      </c>
      <c r="B5" s="1"/>
      <c r="C5" s="1"/>
      <c r="D5" s="1"/>
      <c r="E5" s="1"/>
    </row>
    <row r="6" spans="1:9" ht="72.75" customHeight="1" thickBot="1">
      <c r="A6" s="69" t="s">
        <v>72</v>
      </c>
      <c r="B6" s="70"/>
      <c r="C6" s="70"/>
      <c r="D6" s="70"/>
      <c r="E6" s="70"/>
      <c r="F6" s="70"/>
      <c r="G6" s="70"/>
      <c r="H6" s="70"/>
      <c r="I6" s="71"/>
    </row>
    <row r="7" spans="1:9" ht="15" customHeight="1" thickBot="1">
      <c r="A7" s="72" t="s">
        <v>26</v>
      </c>
      <c r="B7" s="73"/>
      <c r="C7" s="74"/>
      <c r="D7" s="35" t="s">
        <v>1</v>
      </c>
      <c r="E7" s="32"/>
      <c r="F7" s="32"/>
      <c r="G7" s="32"/>
      <c r="H7" s="32"/>
      <c r="I7" s="32"/>
    </row>
    <row r="8" spans="1:9" ht="15" customHeight="1" thickTop="1">
      <c r="A8" s="75" t="s">
        <v>53</v>
      </c>
      <c r="B8" s="76"/>
      <c r="C8" s="77"/>
      <c r="D8" s="33" t="s">
        <v>30</v>
      </c>
      <c r="E8" s="41">
        <v>150</v>
      </c>
      <c r="F8" s="32"/>
      <c r="G8" s="32"/>
      <c r="H8" s="32"/>
      <c r="I8" s="32"/>
    </row>
    <row r="9" spans="1:9" ht="15" customHeight="1">
      <c r="A9" s="78" t="s">
        <v>58</v>
      </c>
      <c r="B9" s="79"/>
      <c r="C9" s="80"/>
      <c r="D9" s="33" t="s">
        <v>29</v>
      </c>
      <c r="E9" s="51">
        <v>48</v>
      </c>
      <c r="F9" s="32"/>
      <c r="G9" s="32"/>
      <c r="H9" s="32"/>
      <c r="I9" s="32"/>
    </row>
    <row r="10" spans="1:9" ht="15" customHeight="1">
      <c r="A10" s="78" t="s">
        <v>28</v>
      </c>
      <c r="B10" s="81"/>
      <c r="C10" s="80"/>
      <c r="D10" s="33" t="s">
        <v>29</v>
      </c>
      <c r="E10" s="53">
        <v>50</v>
      </c>
      <c r="F10" s="32"/>
      <c r="G10" s="32"/>
      <c r="H10" s="32"/>
      <c r="I10" s="32"/>
    </row>
    <row r="11" spans="1:9" ht="15" customHeight="1">
      <c r="A11" s="78" t="s">
        <v>54</v>
      </c>
      <c r="B11" s="79"/>
      <c r="C11" s="80"/>
      <c r="D11" s="33" t="s">
        <v>31</v>
      </c>
      <c r="E11" s="41">
        <v>0.475</v>
      </c>
      <c r="F11" s="32"/>
      <c r="G11" s="32"/>
      <c r="H11" s="32"/>
      <c r="I11" s="32"/>
    </row>
    <row r="12" spans="1:9" ht="15" customHeight="1">
      <c r="A12" s="78" t="s">
        <v>55</v>
      </c>
      <c r="B12" s="81"/>
      <c r="C12" s="80"/>
      <c r="D12" s="33" t="s">
        <v>59</v>
      </c>
      <c r="E12" s="41">
        <v>17660</v>
      </c>
      <c r="F12" s="32"/>
      <c r="G12" s="32"/>
      <c r="H12" s="32"/>
      <c r="I12" s="32"/>
    </row>
    <row r="13" spans="1:9" ht="15" customHeight="1">
      <c r="A13" s="78" t="s">
        <v>56</v>
      </c>
      <c r="B13" s="79"/>
      <c r="C13" s="80"/>
      <c r="D13" s="33" t="s">
        <v>32</v>
      </c>
      <c r="E13" s="51">
        <v>10</v>
      </c>
      <c r="F13" s="32"/>
      <c r="G13" s="32"/>
      <c r="H13" s="32"/>
      <c r="I13" s="32"/>
    </row>
    <row r="14" spans="1:9" ht="15" customHeight="1">
      <c r="A14" s="78" t="s">
        <v>57</v>
      </c>
      <c r="B14" s="81"/>
      <c r="C14" s="80"/>
      <c r="D14" s="33" t="s">
        <v>3</v>
      </c>
      <c r="E14" s="51">
        <v>82</v>
      </c>
      <c r="F14" s="32"/>
      <c r="G14" s="32"/>
      <c r="H14" s="32"/>
      <c r="I14" s="32"/>
    </row>
    <row r="15" spans="1:9" ht="15" customHeight="1">
      <c r="A15" s="78" t="s">
        <v>33</v>
      </c>
      <c r="B15" s="79"/>
      <c r="C15" s="80"/>
      <c r="D15" s="33" t="s">
        <v>34</v>
      </c>
      <c r="E15" s="41">
        <v>1785</v>
      </c>
      <c r="F15" s="32"/>
      <c r="G15" s="32"/>
      <c r="H15" s="32"/>
      <c r="I15" s="32"/>
    </row>
    <row r="16" spans="1:9" ht="15" customHeight="1">
      <c r="A16" s="78" t="s">
        <v>60</v>
      </c>
      <c r="B16" s="79"/>
      <c r="C16" s="80"/>
      <c r="D16" s="33" t="s">
        <v>35</v>
      </c>
      <c r="E16" s="41">
        <v>186</v>
      </c>
      <c r="F16" s="32"/>
      <c r="G16" s="32"/>
      <c r="H16" s="32"/>
      <c r="I16" s="32"/>
    </row>
    <row r="17" spans="1:9" ht="15" customHeight="1">
      <c r="A17" s="78" t="s">
        <v>63</v>
      </c>
      <c r="B17" s="79"/>
      <c r="C17" s="80"/>
      <c r="D17" s="33" t="s">
        <v>35</v>
      </c>
      <c r="E17" s="41">
        <f>365-E16</f>
        <v>179</v>
      </c>
      <c r="F17" s="32"/>
      <c r="G17" s="32"/>
      <c r="H17" s="32"/>
      <c r="I17" s="32"/>
    </row>
    <row r="18" spans="1:9" ht="15" customHeight="1">
      <c r="A18" s="78" t="s">
        <v>36</v>
      </c>
      <c r="B18" s="79"/>
      <c r="C18" s="80"/>
      <c r="D18" s="33" t="s">
        <v>29</v>
      </c>
      <c r="E18" s="41">
        <v>80</v>
      </c>
      <c r="F18" s="32"/>
      <c r="G18" s="32"/>
      <c r="H18" s="32"/>
      <c r="I18" s="32"/>
    </row>
    <row r="19" spans="1:9" ht="15" customHeight="1">
      <c r="A19" s="78" t="s">
        <v>40</v>
      </c>
      <c r="B19" s="81"/>
      <c r="C19" s="80"/>
      <c r="D19" s="33" t="s">
        <v>3</v>
      </c>
      <c r="E19" s="41">
        <v>88</v>
      </c>
      <c r="F19" s="32"/>
      <c r="G19" s="32"/>
      <c r="H19" s="32"/>
      <c r="I19" s="32"/>
    </row>
    <row r="20" spans="1:9" ht="15" customHeight="1">
      <c r="A20" s="78" t="s">
        <v>38</v>
      </c>
      <c r="B20" s="79"/>
      <c r="C20" s="80"/>
      <c r="D20" s="33" t="s">
        <v>37</v>
      </c>
      <c r="E20" s="41">
        <v>11000</v>
      </c>
      <c r="F20" s="32"/>
      <c r="G20" s="32"/>
      <c r="H20" s="32"/>
      <c r="I20" s="32"/>
    </row>
    <row r="21" spans="1:9" ht="15" customHeight="1">
      <c r="A21" s="78" t="s">
        <v>69</v>
      </c>
      <c r="B21" s="79"/>
      <c r="C21" s="80"/>
      <c r="D21" s="33" t="s">
        <v>30</v>
      </c>
      <c r="E21" s="41">
        <v>1.5</v>
      </c>
      <c r="F21" s="32"/>
      <c r="G21" s="32"/>
      <c r="H21" s="32"/>
      <c r="I21" s="32"/>
    </row>
    <row r="22" spans="1:9" ht="15" customHeight="1">
      <c r="A22" s="78" t="s">
        <v>43</v>
      </c>
      <c r="B22" s="79"/>
      <c r="C22" s="80"/>
      <c r="D22" s="33" t="s">
        <v>8</v>
      </c>
      <c r="E22" s="41">
        <v>36.4</v>
      </c>
      <c r="F22" s="32"/>
      <c r="G22" s="32"/>
      <c r="H22" s="32"/>
      <c r="I22" s="32"/>
    </row>
    <row r="23" spans="1:9" ht="15" customHeight="1">
      <c r="A23" s="78" t="s">
        <v>71</v>
      </c>
      <c r="B23" s="79"/>
      <c r="C23" s="80"/>
      <c r="D23" s="33" t="s">
        <v>47</v>
      </c>
      <c r="E23" s="41">
        <v>1800</v>
      </c>
      <c r="F23" s="32"/>
      <c r="G23" s="32"/>
      <c r="H23" s="32"/>
      <c r="I23" s="32"/>
    </row>
    <row r="24" spans="1:9" ht="15" customHeight="1">
      <c r="A24" s="78"/>
      <c r="B24" s="79"/>
      <c r="C24" s="80"/>
      <c r="D24" s="32"/>
      <c r="E24" s="41"/>
      <c r="F24" s="32"/>
      <c r="G24" s="32"/>
      <c r="H24" s="32"/>
      <c r="I24" s="32"/>
    </row>
    <row r="25" spans="1:9" ht="15" customHeight="1" thickBot="1">
      <c r="A25" s="82"/>
      <c r="B25" s="83"/>
      <c r="C25" s="84"/>
      <c r="D25" s="32"/>
      <c r="E25" s="32"/>
      <c r="F25" s="32"/>
      <c r="G25" s="32"/>
      <c r="H25" s="32"/>
      <c r="I25" s="32"/>
    </row>
    <row r="26" spans="1:9" ht="15" customHeight="1" thickBot="1">
      <c r="A26" s="31"/>
      <c r="B26" s="36"/>
      <c r="C26" s="36"/>
      <c r="D26" s="32"/>
      <c r="E26" s="32"/>
      <c r="F26" s="32"/>
      <c r="G26" s="32"/>
      <c r="H26" s="32"/>
      <c r="I26" s="32"/>
    </row>
    <row r="27" spans="1:3" ht="14.25" thickBot="1" thickTop="1">
      <c r="A27" s="34" t="s">
        <v>0</v>
      </c>
      <c r="B27" s="3" t="s">
        <v>1</v>
      </c>
      <c r="C27" s="2"/>
    </row>
    <row r="28" spans="1:3" ht="25.5" customHeight="1" thickTop="1">
      <c r="A28" s="18" t="s">
        <v>22</v>
      </c>
      <c r="B28" s="38" t="s">
        <v>6</v>
      </c>
      <c r="C28" s="39">
        <f>E13</f>
        <v>10</v>
      </c>
    </row>
    <row r="29" spans="1:54" ht="15" thickBot="1">
      <c r="A29" s="16" t="s">
        <v>2</v>
      </c>
      <c r="B29" s="38" t="s">
        <v>3</v>
      </c>
      <c r="C29" s="40">
        <v>8</v>
      </c>
      <c r="D29" s="14">
        <v>1</v>
      </c>
      <c r="E29" s="14">
        <f>1/(1+C29/100)</f>
        <v>0.9259259259259258</v>
      </c>
      <c r="F29" s="14">
        <f aca="true" t="shared" si="0" ref="F29:AK29">E29/(1+$C29/100)</f>
        <v>0.8573388203017831</v>
      </c>
      <c r="G29" s="14">
        <f t="shared" si="0"/>
        <v>0.7938322410201695</v>
      </c>
      <c r="H29" s="14">
        <f t="shared" si="0"/>
        <v>0.7350298527964532</v>
      </c>
      <c r="I29" s="14">
        <f t="shared" si="0"/>
        <v>0.6805831970337529</v>
      </c>
      <c r="J29" s="14">
        <f t="shared" si="0"/>
        <v>0.6301696268831045</v>
      </c>
      <c r="K29" s="14">
        <f t="shared" si="0"/>
        <v>0.5834903952621338</v>
      </c>
      <c r="L29" s="14">
        <f t="shared" si="0"/>
        <v>0.5402688845019756</v>
      </c>
      <c r="M29" s="14">
        <f t="shared" si="0"/>
        <v>0.5002489671314588</v>
      </c>
      <c r="N29" s="14">
        <f t="shared" si="0"/>
        <v>0.4631934880846841</v>
      </c>
      <c r="O29" s="14">
        <f t="shared" si="0"/>
        <v>0.4288828593376704</v>
      </c>
      <c r="P29" s="14">
        <f t="shared" si="0"/>
        <v>0.3971137586459911</v>
      </c>
      <c r="Q29" s="14">
        <f t="shared" si="0"/>
        <v>0.36769792467221396</v>
      </c>
      <c r="R29" s="14">
        <f t="shared" si="0"/>
        <v>0.3404610413631611</v>
      </c>
      <c r="S29" s="14">
        <f t="shared" si="0"/>
        <v>0.3152417049658899</v>
      </c>
      <c r="T29" s="14">
        <f t="shared" si="0"/>
        <v>0.2918904675610091</v>
      </c>
      <c r="U29" s="14">
        <f t="shared" si="0"/>
        <v>0.27026895144537877</v>
      </c>
      <c r="V29" s="14">
        <f t="shared" si="0"/>
        <v>0.2502490291160914</v>
      </c>
      <c r="W29" s="14">
        <f t="shared" si="0"/>
        <v>0.23171206399638095</v>
      </c>
      <c r="X29" s="14">
        <f t="shared" si="0"/>
        <v>0.21454820740405642</v>
      </c>
      <c r="Y29" s="14">
        <f t="shared" si="0"/>
        <v>0.19865574759634852</v>
      </c>
      <c r="Z29" s="14">
        <f t="shared" si="0"/>
        <v>0.18394050703365603</v>
      </c>
      <c r="AA29" s="14">
        <f t="shared" si="0"/>
        <v>0.17031528429042223</v>
      </c>
      <c r="AB29" s="14">
        <f t="shared" si="0"/>
        <v>0.15769933730594649</v>
      </c>
      <c r="AC29" s="14">
        <f t="shared" si="0"/>
        <v>0.14601790491291342</v>
      </c>
      <c r="AD29" s="14">
        <f t="shared" si="0"/>
        <v>0.13520176380825316</v>
      </c>
      <c r="AE29" s="14">
        <f t="shared" si="0"/>
        <v>0.12518681834097514</v>
      </c>
      <c r="AF29" s="14">
        <f t="shared" si="0"/>
        <v>0.11591372068608809</v>
      </c>
      <c r="AG29" s="14">
        <f t="shared" si="0"/>
        <v>0.10732751915378526</v>
      </c>
      <c r="AH29" s="14">
        <f t="shared" si="0"/>
        <v>0.09937733254980116</v>
      </c>
      <c r="AI29" s="14">
        <f t="shared" si="0"/>
        <v>0.09201604865722329</v>
      </c>
      <c r="AJ29" s="14">
        <f t="shared" si="0"/>
        <v>0.08520004505298452</v>
      </c>
      <c r="AK29" s="14">
        <f t="shared" si="0"/>
        <v>0.0788889306046153</v>
      </c>
      <c r="AL29" s="14">
        <f aca="true" t="shared" si="1" ref="AL29:BB29">AK29/(1+$C29/100)</f>
        <v>0.07304530611538453</v>
      </c>
      <c r="AM29" s="14">
        <f t="shared" si="1"/>
        <v>0.06763454269943012</v>
      </c>
      <c r="AN29" s="14">
        <f t="shared" si="1"/>
        <v>0.0626245765735464</v>
      </c>
      <c r="AO29" s="14">
        <f t="shared" si="1"/>
        <v>0.057985719049580005</v>
      </c>
      <c r="AP29" s="14">
        <f t="shared" si="1"/>
        <v>0.05369048060146296</v>
      </c>
      <c r="AQ29" s="14">
        <f t="shared" si="1"/>
        <v>0.04971340796431755</v>
      </c>
      <c r="AR29" s="14">
        <f t="shared" si="1"/>
        <v>0.04603093330029402</v>
      </c>
      <c r="AS29" s="14">
        <f t="shared" si="1"/>
        <v>0.042621234537309274</v>
      </c>
      <c r="AT29" s="14">
        <f t="shared" si="1"/>
        <v>0.03946410605306414</v>
      </c>
      <c r="AU29" s="14">
        <f t="shared" si="1"/>
        <v>0.03654083893802235</v>
      </c>
      <c r="AV29" s="14">
        <f t="shared" si="1"/>
        <v>0.033834110127798474</v>
      </c>
      <c r="AW29" s="14">
        <f t="shared" si="1"/>
        <v>0.03132787974796155</v>
      </c>
      <c r="AX29" s="14">
        <f t="shared" si="1"/>
        <v>0.02900729606292736</v>
      </c>
      <c r="AY29" s="14">
        <f t="shared" si="1"/>
        <v>0.02685860746567348</v>
      </c>
      <c r="AZ29" s="14">
        <f t="shared" si="1"/>
        <v>0.0248690809867347</v>
      </c>
      <c r="BA29" s="14">
        <f t="shared" si="1"/>
        <v>0.023026926839569164</v>
      </c>
      <c r="BB29" s="14">
        <f t="shared" si="1"/>
        <v>0.02132122855515663</v>
      </c>
    </row>
    <row r="30" ht="15" thickBot="1">
      <c r="D30" s="28" t="s">
        <v>5</v>
      </c>
    </row>
    <row r="31" spans="1:54" ht="15.75" thickBot="1">
      <c r="A31" s="19" t="s">
        <v>21</v>
      </c>
      <c r="B31" s="17" t="s">
        <v>17</v>
      </c>
      <c r="C31" s="15">
        <f>C32+C48</f>
        <v>-119370.10393296636</v>
      </c>
      <c r="D31" s="28">
        <v>0</v>
      </c>
      <c r="E31" s="28">
        <f aca="true" t="shared" si="2" ref="E31:AJ31">IF(D31&lt;$C28,D31+1,"")</f>
        <v>1</v>
      </c>
      <c r="F31" s="28">
        <f t="shared" si="2"/>
        <v>2</v>
      </c>
      <c r="G31" s="28">
        <f t="shared" si="2"/>
        <v>3</v>
      </c>
      <c r="H31" s="28">
        <f t="shared" si="2"/>
        <v>4</v>
      </c>
      <c r="I31" s="28">
        <f t="shared" si="2"/>
        <v>5</v>
      </c>
      <c r="J31" s="28">
        <f t="shared" si="2"/>
        <v>6</v>
      </c>
      <c r="K31" s="28">
        <f t="shared" si="2"/>
        <v>7</v>
      </c>
      <c r="L31" s="28">
        <f t="shared" si="2"/>
        <v>8</v>
      </c>
      <c r="M31" s="28">
        <f t="shared" si="2"/>
        <v>9</v>
      </c>
      <c r="N31" s="28">
        <f t="shared" si="2"/>
        <v>10</v>
      </c>
      <c r="O31" s="28">
        <f t="shared" si="2"/>
      </c>
      <c r="P31" s="28">
        <f t="shared" si="2"/>
      </c>
      <c r="Q31" s="28">
        <f t="shared" si="2"/>
      </c>
      <c r="R31" s="28">
        <f t="shared" si="2"/>
      </c>
      <c r="S31" s="28">
        <f t="shared" si="2"/>
      </c>
      <c r="T31" s="28">
        <f t="shared" si="2"/>
      </c>
      <c r="U31" s="28">
        <f t="shared" si="2"/>
      </c>
      <c r="V31" s="28">
        <f t="shared" si="2"/>
      </c>
      <c r="W31" s="28">
        <f t="shared" si="2"/>
      </c>
      <c r="X31" s="28">
        <f t="shared" si="2"/>
      </c>
      <c r="Y31" s="28">
        <f t="shared" si="2"/>
      </c>
      <c r="Z31" s="28">
        <f t="shared" si="2"/>
      </c>
      <c r="AA31" s="28">
        <f t="shared" si="2"/>
      </c>
      <c r="AB31" s="28">
        <f t="shared" si="2"/>
      </c>
      <c r="AC31" s="28">
        <f t="shared" si="2"/>
      </c>
      <c r="AD31" s="28">
        <f t="shared" si="2"/>
      </c>
      <c r="AE31" s="28">
        <f t="shared" si="2"/>
      </c>
      <c r="AF31" s="28">
        <f t="shared" si="2"/>
      </c>
      <c r="AG31" s="28">
        <f t="shared" si="2"/>
      </c>
      <c r="AH31" s="28">
        <f t="shared" si="2"/>
      </c>
      <c r="AI31" s="28">
        <f t="shared" si="2"/>
      </c>
      <c r="AJ31" s="28">
        <f t="shared" si="2"/>
      </c>
      <c r="AK31" s="28">
        <f aca="true" t="shared" si="3" ref="AK31:BB31">IF(AJ31&lt;$C28,AJ31+1,"")</f>
      </c>
      <c r="AL31" s="28">
        <f t="shared" si="3"/>
      </c>
      <c r="AM31" s="28">
        <f t="shared" si="3"/>
      </c>
      <c r="AN31" s="28">
        <f t="shared" si="3"/>
      </c>
      <c r="AO31" s="28">
        <f t="shared" si="3"/>
      </c>
      <c r="AP31" s="28">
        <f t="shared" si="3"/>
      </c>
      <c r="AQ31" s="28">
        <f t="shared" si="3"/>
      </c>
      <c r="AR31" s="28">
        <f t="shared" si="3"/>
      </c>
      <c r="AS31" s="28">
        <f t="shared" si="3"/>
      </c>
      <c r="AT31" s="28">
        <f t="shared" si="3"/>
      </c>
      <c r="AU31" s="28">
        <f t="shared" si="3"/>
      </c>
      <c r="AV31" s="28">
        <f t="shared" si="3"/>
      </c>
      <c r="AW31" s="28">
        <f t="shared" si="3"/>
      </c>
      <c r="AX31" s="28">
        <f t="shared" si="3"/>
      </c>
      <c r="AY31" s="28">
        <f t="shared" si="3"/>
      </c>
      <c r="AZ31" s="28">
        <f t="shared" si="3"/>
      </c>
      <c r="BA31" s="28">
        <f t="shared" si="3"/>
      </c>
      <c r="BB31" s="28">
        <f t="shared" si="3"/>
      </c>
    </row>
    <row r="32" spans="1:54" ht="19.5" thickBot="1">
      <c r="A32" s="25" t="s">
        <v>9</v>
      </c>
      <c r="B32" s="20" t="s">
        <v>17</v>
      </c>
      <c r="C32" s="15">
        <f>SUM(D32:BB32)</f>
        <v>28603.336156756854</v>
      </c>
      <c r="D32" s="26">
        <f aca="true" t="shared" si="4" ref="D32:AI32">D33*D29</f>
        <v>28603.336156756854</v>
      </c>
      <c r="E32" s="26">
        <f t="shared" si="4"/>
        <v>0</v>
      </c>
      <c r="F32" s="26">
        <f t="shared" si="4"/>
        <v>0</v>
      </c>
      <c r="G32" s="26">
        <f t="shared" si="4"/>
        <v>0</v>
      </c>
      <c r="H32" s="26">
        <f t="shared" si="4"/>
        <v>0</v>
      </c>
      <c r="I32" s="26">
        <f t="shared" si="4"/>
        <v>0</v>
      </c>
      <c r="J32" s="26">
        <f t="shared" si="4"/>
        <v>0</v>
      </c>
      <c r="K32" s="26">
        <f t="shared" si="4"/>
        <v>0</v>
      </c>
      <c r="L32" s="26">
        <f t="shared" si="4"/>
        <v>0</v>
      </c>
      <c r="M32" s="26">
        <f t="shared" si="4"/>
        <v>0</v>
      </c>
      <c r="N32" s="26">
        <f t="shared" si="4"/>
        <v>0</v>
      </c>
      <c r="O32" s="26">
        <f t="shared" si="4"/>
        <v>0</v>
      </c>
      <c r="P32" s="26">
        <f t="shared" si="4"/>
        <v>0</v>
      </c>
      <c r="Q32" s="26">
        <f t="shared" si="4"/>
        <v>0</v>
      </c>
      <c r="R32" s="26">
        <f t="shared" si="4"/>
        <v>0</v>
      </c>
      <c r="S32" s="26">
        <f t="shared" si="4"/>
        <v>0</v>
      </c>
      <c r="T32" s="26">
        <f t="shared" si="4"/>
        <v>0</v>
      </c>
      <c r="U32" s="26">
        <f t="shared" si="4"/>
        <v>0</v>
      </c>
      <c r="V32" s="26">
        <f t="shared" si="4"/>
        <v>0</v>
      </c>
      <c r="W32" s="26">
        <f t="shared" si="4"/>
        <v>0</v>
      </c>
      <c r="X32" s="26">
        <f t="shared" si="4"/>
        <v>0</v>
      </c>
      <c r="Y32" s="26">
        <f t="shared" si="4"/>
        <v>0</v>
      </c>
      <c r="Z32" s="26">
        <f t="shared" si="4"/>
        <v>0</v>
      </c>
      <c r="AA32" s="26">
        <f t="shared" si="4"/>
        <v>0</v>
      </c>
      <c r="AB32" s="26">
        <f t="shared" si="4"/>
        <v>0</v>
      </c>
      <c r="AC32" s="26">
        <f t="shared" si="4"/>
        <v>0</v>
      </c>
      <c r="AD32" s="26">
        <f t="shared" si="4"/>
        <v>0</v>
      </c>
      <c r="AE32" s="26">
        <f t="shared" si="4"/>
        <v>0</v>
      </c>
      <c r="AF32" s="26">
        <f t="shared" si="4"/>
        <v>0</v>
      </c>
      <c r="AG32" s="26">
        <f t="shared" si="4"/>
        <v>0</v>
      </c>
      <c r="AH32" s="26">
        <f t="shared" si="4"/>
        <v>0</v>
      </c>
      <c r="AI32" s="26">
        <f t="shared" si="4"/>
        <v>0</v>
      </c>
      <c r="AJ32" s="26">
        <f aca="true" t="shared" si="5" ref="AJ32:BB32">AJ33*AJ29</f>
        <v>0</v>
      </c>
      <c r="AK32" s="26">
        <f t="shared" si="5"/>
        <v>0</v>
      </c>
      <c r="AL32" s="26">
        <f t="shared" si="5"/>
        <v>0</v>
      </c>
      <c r="AM32" s="26">
        <f t="shared" si="5"/>
        <v>0</v>
      </c>
      <c r="AN32" s="26">
        <f t="shared" si="5"/>
        <v>0</v>
      </c>
      <c r="AO32" s="26">
        <f t="shared" si="5"/>
        <v>0</v>
      </c>
      <c r="AP32" s="26">
        <f t="shared" si="5"/>
        <v>0</v>
      </c>
      <c r="AQ32" s="26">
        <f t="shared" si="5"/>
        <v>0</v>
      </c>
      <c r="AR32" s="26">
        <f t="shared" si="5"/>
        <v>0</v>
      </c>
      <c r="AS32" s="26">
        <f t="shared" si="5"/>
        <v>0</v>
      </c>
      <c r="AT32" s="26">
        <f t="shared" si="5"/>
        <v>0</v>
      </c>
      <c r="AU32" s="26">
        <f t="shared" si="5"/>
        <v>0</v>
      </c>
      <c r="AV32" s="26">
        <f t="shared" si="5"/>
        <v>0</v>
      </c>
      <c r="AW32" s="26">
        <f t="shared" si="5"/>
        <v>0</v>
      </c>
      <c r="AX32" s="26">
        <f t="shared" si="5"/>
        <v>0</v>
      </c>
      <c r="AY32" s="26">
        <f t="shared" si="5"/>
        <v>0</v>
      </c>
      <c r="AZ32" s="26">
        <f t="shared" si="5"/>
        <v>0</v>
      </c>
      <c r="BA32" s="26">
        <f t="shared" si="5"/>
        <v>0</v>
      </c>
      <c r="BB32" s="26">
        <f t="shared" si="5"/>
        <v>0</v>
      </c>
    </row>
    <row r="33" spans="1:54" ht="14.25" customHeight="1">
      <c r="A33" s="29" t="s">
        <v>24</v>
      </c>
      <c r="B33" s="27" t="s">
        <v>17</v>
      </c>
      <c r="C33" s="11"/>
      <c r="D33" s="50">
        <f>D35+D36+D41</f>
        <v>28603.336156756854</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row>
    <row r="34" spans="1:3" ht="12.75">
      <c r="A34" s="12" t="s">
        <v>10</v>
      </c>
      <c r="C34" s="8"/>
    </row>
    <row r="35" spans="1:4" ht="12.75">
      <c r="A35" s="42" t="s">
        <v>61</v>
      </c>
      <c r="B35" s="43" t="s">
        <v>29</v>
      </c>
      <c r="C35" s="44">
        <f>E9</f>
        <v>48</v>
      </c>
      <c r="D35" s="57">
        <f>C35*1000*0.2</f>
        <v>9600</v>
      </c>
    </row>
    <row r="36" spans="1:4" ht="12.75">
      <c r="A36" s="42" t="s">
        <v>28</v>
      </c>
      <c r="B36" s="43" t="s">
        <v>29</v>
      </c>
      <c r="C36" s="44">
        <f>E10</f>
        <v>50</v>
      </c>
      <c r="D36" s="57">
        <f>C36*1000*0.2</f>
        <v>10000</v>
      </c>
    </row>
    <row r="37" ht="12.75">
      <c r="C37" s="8"/>
    </row>
    <row r="38" ht="12.75">
      <c r="A38" s="12" t="s">
        <v>11</v>
      </c>
    </row>
    <row r="39" spans="1:3" ht="12.75">
      <c r="A39" s="45" t="s">
        <v>19</v>
      </c>
      <c r="B39" s="46" t="s">
        <v>6</v>
      </c>
      <c r="C39" s="45">
        <v>40</v>
      </c>
    </row>
    <row r="40" spans="1:3" ht="12.75">
      <c r="A40" s="45" t="s">
        <v>51</v>
      </c>
      <c r="B40" s="46" t="s">
        <v>29</v>
      </c>
      <c r="C40" s="45">
        <f>E18</f>
        <v>80</v>
      </c>
    </row>
    <row r="41" spans="1:4" ht="12.75">
      <c r="A41" s="45" t="s">
        <v>62</v>
      </c>
      <c r="B41" s="46" t="s">
        <v>29</v>
      </c>
      <c r="C41" s="48">
        <f>C40*C43</f>
        <v>45.01668078378427</v>
      </c>
      <c r="D41" s="58">
        <f>C41*1000*0.2</f>
        <v>9003.336156756854</v>
      </c>
    </row>
    <row r="42" spans="1:3" ht="12.75">
      <c r="A42" s="10" t="s">
        <v>20</v>
      </c>
      <c r="B42" s="7" t="s">
        <v>17</v>
      </c>
      <c r="C42" s="23"/>
    </row>
    <row r="43" spans="1:3" ht="14.25" customHeight="1">
      <c r="A43" s="22" t="s">
        <v>23</v>
      </c>
      <c r="B43" s="21"/>
      <c r="C43" s="16">
        <f>(1-POWER(1+C29/100,-C28))/(1-POWER(1+C29/100,-C39))</f>
        <v>0.5627085097973034</v>
      </c>
    </row>
    <row r="44" spans="1:3" ht="12.75">
      <c r="A44" s="9"/>
      <c r="B44" s="7"/>
      <c r="C44" s="11"/>
    </row>
    <row r="45" spans="1:3" ht="12.75">
      <c r="A45" s="13" t="s">
        <v>12</v>
      </c>
      <c r="C45" s="11"/>
    </row>
    <row r="46" spans="1:3" ht="12.75">
      <c r="A46" s="9"/>
      <c r="C46" s="11"/>
    </row>
    <row r="47" spans="4:54" ht="15" thickBot="1">
      <c r="D47" s="28" t="s">
        <v>5</v>
      </c>
      <c r="E47" s="28">
        <f aca="true" t="shared" si="6" ref="E47:AJ47">E31</f>
        <v>1</v>
      </c>
      <c r="F47" s="28">
        <f t="shared" si="6"/>
        <v>2</v>
      </c>
      <c r="G47" s="28">
        <f t="shared" si="6"/>
        <v>3</v>
      </c>
      <c r="H47" s="28">
        <f t="shared" si="6"/>
        <v>4</v>
      </c>
      <c r="I47" s="28">
        <f t="shared" si="6"/>
        <v>5</v>
      </c>
      <c r="J47" s="28">
        <f t="shared" si="6"/>
        <v>6</v>
      </c>
      <c r="K47" s="28">
        <f t="shared" si="6"/>
        <v>7</v>
      </c>
      <c r="L47" s="28">
        <f t="shared" si="6"/>
        <v>8</v>
      </c>
      <c r="M47" s="28">
        <f t="shared" si="6"/>
        <v>9</v>
      </c>
      <c r="N47" s="28">
        <f t="shared" si="6"/>
        <v>10</v>
      </c>
      <c r="O47" s="28">
        <f t="shared" si="6"/>
      </c>
      <c r="P47" s="28">
        <f t="shared" si="6"/>
      </c>
      <c r="Q47" s="28">
        <f t="shared" si="6"/>
      </c>
      <c r="R47" s="28">
        <f t="shared" si="6"/>
      </c>
      <c r="S47" s="28">
        <f t="shared" si="6"/>
      </c>
      <c r="T47" s="28">
        <f t="shared" si="6"/>
      </c>
      <c r="U47" s="28">
        <f t="shared" si="6"/>
      </c>
      <c r="V47" s="28">
        <f t="shared" si="6"/>
      </c>
      <c r="W47" s="28">
        <f t="shared" si="6"/>
      </c>
      <c r="X47" s="28">
        <f t="shared" si="6"/>
      </c>
      <c r="Y47" s="28">
        <f t="shared" si="6"/>
      </c>
      <c r="Z47" s="28">
        <f t="shared" si="6"/>
      </c>
      <c r="AA47" s="28">
        <f t="shared" si="6"/>
      </c>
      <c r="AB47" s="28">
        <f t="shared" si="6"/>
      </c>
      <c r="AC47" s="28">
        <f t="shared" si="6"/>
      </c>
      <c r="AD47" s="28">
        <f t="shared" si="6"/>
      </c>
      <c r="AE47" s="28">
        <f t="shared" si="6"/>
      </c>
      <c r="AF47" s="28">
        <f t="shared" si="6"/>
      </c>
      <c r="AG47" s="28">
        <f t="shared" si="6"/>
      </c>
      <c r="AH47" s="28">
        <f t="shared" si="6"/>
      </c>
      <c r="AI47" s="28">
        <f t="shared" si="6"/>
      </c>
      <c r="AJ47" s="28">
        <f t="shared" si="6"/>
      </c>
      <c r="AK47" s="28">
        <f aca="true" t="shared" si="7" ref="AK47:BB47">AK31</f>
      </c>
      <c r="AL47" s="28">
        <f t="shared" si="7"/>
      </c>
      <c r="AM47" s="28">
        <f t="shared" si="7"/>
      </c>
      <c r="AN47" s="28">
        <f t="shared" si="7"/>
      </c>
      <c r="AO47" s="28">
        <f t="shared" si="7"/>
      </c>
      <c r="AP47" s="28">
        <f t="shared" si="7"/>
      </c>
      <c r="AQ47" s="28">
        <f t="shared" si="7"/>
      </c>
      <c r="AR47" s="28">
        <f t="shared" si="7"/>
      </c>
      <c r="AS47" s="28">
        <f t="shared" si="7"/>
      </c>
      <c r="AT47" s="28">
        <f t="shared" si="7"/>
      </c>
      <c r="AU47" s="28">
        <f t="shared" si="7"/>
      </c>
      <c r="AV47" s="28">
        <f t="shared" si="7"/>
      </c>
      <c r="AW47" s="28">
        <f t="shared" si="7"/>
      </c>
      <c r="AX47" s="28">
        <f t="shared" si="7"/>
      </c>
      <c r="AY47" s="28">
        <f t="shared" si="7"/>
      </c>
      <c r="AZ47" s="28">
        <f t="shared" si="7"/>
      </c>
      <c r="BA47" s="28">
        <f t="shared" si="7"/>
      </c>
      <c r="BB47" s="28">
        <f t="shared" si="7"/>
      </c>
    </row>
    <row r="48" spans="1:54" ht="19.5" thickBot="1">
      <c r="A48" s="25" t="s">
        <v>15</v>
      </c>
      <c r="B48" s="21" t="s">
        <v>17</v>
      </c>
      <c r="C48" s="15">
        <f>SUM(E48:BB48)</f>
        <v>-147973.4400897232</v>
      </c>
      <c r="D48" s="1"/>
      <c r="E48" s="26">
        <f aca="true" t="shared" si="8" ref="E48:AJ48">E49*E29</f>
        <v>-20418.894553072943</v>
      </c>
      <c r="F48" s="26">
        <f t="shared" si="8"/>
        <v>-18906.383845437907</v>
      </c>
      <c r="G48" s="26">
        <f t="shared" si="8"/>
        <v>-17505.91096799806</v>
      </c>
      <c r="H48" s="26">
        <f t="shared" si="8"/>
        <v>-16209.176822220426</v>
      </c>
      <c r="I48" s="26">
        <f t="shared" si="8"/>
        <v>-15008.497057611505</v>
      </c>
      <c r="J48" s="26">
        <f t="shared" si="8"/>
        <v>-13896.756534825467</v>
      </c>
      <c r="K48" s="26">
        <f t="shared" si="8"/>
        <v>-12867.36716187543</v>
      </c>
      <c r="L48" s="26">
        <f t="shared" si="8"/>
        <v>-11914.228853588362</v>
      </c>
      <c r="M48" s="26">
        <f t="shared" si="8"/>
        <v>-11031.693382952184</v>
      </c>
      <c r="N48" s="26">
        <f t="shared" si="8"/>
        <v>-10214.530910140911</v>
      </c>
      <c r="O48" s="26">
        <f t="shared" si="8"/>
        <v>0</v>
      </c>
      <c r="P48" s="26">
        <f t="shared" si="8"/>
        <v>0</v>
      </c>
      <c r="Q48" s="26">
        <f t="shared" si="8"/>
        <v>0</v>
      </c>
      <c r="R48" s="26">
        <f t="shared" si="8"/>
        <v>0</v>
      </c>
      <c r="S48" s="26">
        <f t="shared" si="8"/>
        <v>0</v>
      </c>
      <c r="T48" s="26">
        <f t="shared" si="8"/>
        <v>0</v>
      </c>
      <c r="U48" s="26">
        <f t="shared" si="8"/>
        <v>0</v>
      </c>
      <c r="V48" s="26">
        <f t="shared" si="8"/>
        <v>0</v>
      </c>
      <c r="W48" s="26">
        <f t="shared" si="8"/>
        <v>0</v>
      </c>
      <c r="X48" s="26">
        <f t="shared" si="8"/>
        <v>0</v>
      </c>
      <c r="Y48" s="26">
        <f t="shared" si="8"/>
        <v>0</v>
      </c>
      <c r="Z48" s="26">
        <f t="shared" si="8"/>
        <v>0</v>
      </c>
      <c r="AA48" s="26">
        <f t="shared" si="8"/>
        <v>0</v>
      </c>
      <c r="AB48" s="26">
        <f t="shared" si="8"/>
        <v>0</v>
      </c>
      <c r="AC48" s="26">
        <f t="shared" si="8"/>
        <v>0</v>
      </c>
      <c r="AD48" s="26">
        <f t="shared" si="8"/>
        <v>0</v>
      </c>
      <c r="AE48" s="26">
        <f t="shared" si="8"/>
        <v>0</v>
      </c>
      <c r="AF48" s="26">
        <f t="shared" si="8"/>
        <v>0</v>
      </c>
      <c r="AG48" s="26">
        <f t="shared" si="8"/>
        <v>0</v>
      </c>
      <c r="AH48" s="26">
        <f t="shared" si="8"/>
        <v>0</v>
      </c>
      <c r="AI48" s="26">
        <f t="shared" si="8"/>
        <v>0</v>
      </c>
      <c r="AJ48" s="26">
        <f t="shared" si="8"/>
        <v>0</v>
      </c>
      <c r="AK48" s="26">
        <f aca="true" t="shared" si="9" ref="AK48:BB48">AK49*AK29</f>
        <v>0</v>
      </c>
      <c r="AL48" s="26">
        <f t="shared" si="9"/>
        <v>0</v>
      </c>
      <c r="AM48" s="26">
        <f t="shared" si="9"/>
        <v>0</v>
      </c>
      <c r="AN48" s="26">
        <f t="shared" si="9"/>
        <v>0</v>
      </c>
      <c r="AO48" s="26">
        <f t="shared" si="9"/>
        <v>0</v>
      </c>
      <c r="AP48" s="26">
        <f t="shared" si="9"/>
        <v>0</v>
      </c>
      <c r="AQ48" s="26">
        <f t="shared" si="9"/>
        <v>0</v>
      </c>
      <c r="AR48" s="26">
        <f t="shared" si="9"/>
        <v>0</v>
      </c>
      <c r="AS48" s="26">
        <f t="shared" si="9"/>
        <v>0</v>
      </c>
      <c r="AT48" s="26">
        <f t="shared" si="9"/>
        <v>0</v>
      </c>
      <c r="AU48" s="26">
        <f t="shared" si="9"/>
        <v>0</v>
      </c>
      <c r="AV48" s="26">
        <f t="shared" si="9"/>
        <v>0</v>
      </c>
      <c r="AW48" s="26">
        <f t="shared" si="9"/>
        <v>0</v>
      </c>
      <c r="AX48" s="26">
        <f t="shared" si="9"/>
        <v>0</v>
      </c>
      <c r="AY48" s="26">
        <f t="shared" si="9"/>
        <v>0</v>
      </c>
      <c r="AZ48" s="26">
        <f t="shared" si="9"/>
        <v>0</v>
      </c>
      <c r="BA48" s="26">
        <f t="shared" si="9"/>
        <v>0</v>
      </c>
      <c r="BB48" s="26">
        <f t="shared" si="9"/>
        <v>0</v>
      </c>
    </row>
    <row r="49" spans="1:54" ht="15.75" thickBot="1">
      <c r="A49" s="29" t="s">
        <v>25</v>
      </c>
      <c r="B49" s="7" t="s">
        <v>17</v>
      </c>
      <c r="C49" s="15">
        <f>SUM(E49:BB49)</f>
        <v>-220524.0611731878</v>
      </c>
      <c r="E49" s="30">
        <f aca="true" t="shared" si="10" ref="E49:X49">E54+E58+E61-E67</f>
        <v>-22052.40611731878</v>
      </c>
      <c r="F49" s="30">
        <f t="shared" si="10"/>
        <v>-22052.40611731878</v>
      </c>
      <c r="G49" s="30">
        <f t="shared" si="10"/>
        <v>-22052.40611731878</v>
      </c>
      <c r="H49" s="30">
        <f t="shared" si="10"/>
        <v>-22052.40611731878</v>
      </c>
      <c r="I49" s="30">
        <f t="shared" si="10"/>
        <v>-22052.40611731878</v>
      </c>
      <c r="J49" s="30">
        <f t="shared" si="10"/>
        <v>-22052.40611731878</v>
      </c>
      <c r="K49" s="30">
        <f t="shared" si="10"/>
        <v>-22052.40611731878</v>
      </c>
      <c r="L49" s="30">
        <f t="shared" si="10"/>
        <v>-22052.40611731878</v>
      </c>
      <c r="M49" s="30">
        <f t="shared" si="10"/>
        <v>-22052.40611731878</v>
      </c>
      <c r="N49" s="30">
        <f t="shared" si="10"/>
        <v>-22052.40611731878</v>
      </c>
      <c r="O49" s="30">
        <f t="shared" si="10"/>
        <v>0</v>
      </c>
      <c r="P49" s="30">
        <f t="shared" si="10"/>
        <v>0</v>
      </c>
      <c r="Q49" s="30">
        <f t="shared" si="10"/>
        <v>0</v>
      </c>
      <c r="R49" s="30">
        <f t="shared" si="10"/>
        <v>0</v>
      </c>
      <c r="S49" s="30">
        <f t="shared" si="10"/>
        <v>0</v>
      </c>
      <c r="T49" s="30">
        <f t="shared" si="10"/>
        <v>0</v>
      </c>
      <c r="U49" s="30">
        <f t="shared" si="10"/>
        <v>0</v>
      </c>
      <c r="V49" s="30">
        <f t="shared" si="10"/>
        <v>0</v>
      </c>
      <c r="W49" s="30">
        <f t="shared" si="10"/>
        <v>0</v>
      </c>
      <c r="X49" s="30">
        <f t="shared" si="10"/>
        <v>0</v>
      </c>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row>
    <row r="50" ht="12.75">
      <c r="A50" s="12" t="s">
        <v>13</v>
      </c>
    </row>
    <row r="51" spans="1:3" ht="12.75">
      <c r="A51" s="42" t="s">
        <v>66</v>
      </c>
      <c r="B51" s="46" t="s">
        <v>39</v>
      </c>
      <c r="C51" s="45">
        <f>E8*E16*24/1000</f>
        <v>669.6</v>
      </c>
    </row>
    <row r="52" spans="1:3" ht="12.75">
      <c r="A52" s="42" t="s">
        <v>67</v>
      </c>
      <c r="B52" s="46" t="s">
        <v>39</v>
      </c>
      <c r="C52" s="45">
        <f>E8/2*E17*24/1000</f>
        <v>322.2</v>
      </c>
    </row>
    <row r="53" spans="1:3" ht="12.75">
      <c r="A53" s="42" t="s">
        <v>64</v>
      </c>
      <c r="B53" s="46" t="s">
        <v>41</v>
      </c>
      <c r="C53" s="47">
        <f>(C51/(E14/100)+C52/(E14/100))*859845*4.187/E12/1000</f>
        <v>246.5713899868105</v>
      </c>
    </row>
    <row r="54" spans="1:14" ht="12.75">
      <c r="A54" s="42" t="s">
        <v>65</v>
      </c>
      <c r="B54" s="46" t="s">
        <v>42</v>
      </c>
      <c r="C54" s="47">
        <f>C53*E11</f>
        <v>117.12141024373497</v>
      </c>
      <c r="E54">
        <f>C54*1000</f>
        <v>117121.41024373496</v>
      </c>
      <c r="F54">
        <f aca="true" t="shared" si="11" ref="F54:N54">E54</f>
        <v>117121.41024373496</v>
      </c>
      <c r="G54">
        <f t="shared" si="11"/>
        <v>117121.41024373496</v>
      </c>
      <c r="H54">
        <f t="shared" si="11"/>
        <v>117121.41024373496</v>
      </c>
      <c r="I54">
        <f t="shared" si="11"/>
        <v>117121.41024373496</v>
      </c>
      <c r="J54">
        <f t="shared" si="11"/>
        <v>117121.41024373496</v>
      </c>
      <c r="K54">
        <f t="shared" si="11"/>
        <v>117121.41024373496</v>
      </c>
      <c r="L54">
        <f t="shared" si="11"/>
        <v>117121.41024373496</v>
      </c>
      <c r="M54">
        <f t="shared" si="11"/>
        <v>117121.41024373496</v>
      </c>
      <c r="N54">
        <f t="shared" si="11"/>
        <v>117121.41024373496</v>
      </c>
    </row>
    <row r="55" ht="12.75">
      <c r="A55" s="12"/>
    </row>
    <row r="56" ht="12.75">
      <c r="A56" s="12" t="s">
        <v>14</v>
      </c>
    </row>
    <row r="57" spans="1:3" ht="12.75">
      <c r="A57" s="42" t="s">
        <v>68</v>
      </c>
      <c r="B57" s="46" t="s">
        <v>44</v>
      </c>
      <c r="C57" s="45">
        <f>E21*E16*24+E21/2*E17*24</f>
        <v>9918</v>
      </c>
    </row>
    <row r="58" spans="1:14" ht="12.75">
      <c r="A58" s="42" t="s">
        <v>45</v>
      </c>
      <c r="B58" s="46" t="s">
        <v>46</v>
      </c>
      <c r="C58" s="48">
        <f>C57*E22/100</f>
        <v>3610.152</v>
      </c>
      <c r="E58">
        <f>C58</f>
        <v>3610.152</v>
      </c>
      <c r="F58">
        <f aca="true" t="shared" si="12" ref="F58:N58">E58</f>
        <v>3610.152</v>
      </c>
      <c r="G58">
        <f t="shared" si="12"/>
        <v>3610.152</v>
      </c>
      <c r="H58">
        <f t="shared" si="12"/>
        <v>3610.152</v>
      </c>
      <c r="I58">
        <f t="shared" si="12"/>
        <v>3610.152</v>
      </c>
      <c r="J58">
        <f t="shared" si="12"/>
        <v>3610.152</v>
      </c>
      <c r="K58">
        <f t="shared" si="12"/>
        <v>3610.152</v>
      </c>
      <c r="L58">
        <f t="shared" si="12"/>
        <v>3610.152</v>
      </c>
      <c r="M58">
        <f t="shared" si="12"/>
        <v>3610.152</v>
      </c>
      <c r="N58">
        <f t="shared" si="12"/>
        <v>3610.152</v>
      </c>
    </row>
    <row r="59" ht="12.75">
      <c r="B59" s="7"/>
    </row>
    <row r="60" spans="1:2" ht="12.75">
      <c r="A60" s="12" t="s">
        <v>18</v>
      </c>
      <c r="B60" s="7"/>
    </row>
    <row r="61" spans="1:14" ht="12.75">
      <c r="A61" s="42" t="s">
        <v>70</v>
      </c>
      <c r="B61" s="46" t="s">
        <v>46</v>
      </c>
      <c r="C61" s="45">
        <f>E23*0.5*1.34*12</f>
        <v>14472</v>
      </c>
      <c r="E61">
        <f>C61</f>
        <v>14472</v>
      </c>
      <c r="F61">
        <f aca="true" t="shared" si="13" ref="F61:N61">E61</f>
        <v>14472</v>
      </c>
      <c r="G61">
        <f t="shared" si="13"/>
        <v>14472</v>
      </c>
      <c r="H61">
        <f t="shared" si="13"/>
        <v>14472</v>
      </c>
      <c r="I61">
        <f t="shared" si="13"/>
        <v>14472</v>
      </c>
      <c r="J61">
        <f t="shared" si="13"/>
        <v>14472</v>
      </c>
      <c r="K61">
        <f t="shared" si="13"/>
        <v>14472</v>
      </c>
      <c r="L61">
        <f t="shared" si="13"/>
        <v>14472</v>
      </c>
      <c r="M61">
        <f t="shared" si="13"/>
        <v>14472</v>
      </c>
      <c r="N61">
        <f t="shared" si="13"/>
        <v>14472</v>
      </c>
    </row>
    <row r="62" ht="12.75">
      <c r="B62" s="7"/>
    </row>
    <row r="63" spans="1:2" ht="12.75">
      <c r="A63" s="12" t="s">
        <v>16</v>
      </c>
      <c r="B63" s="7"/>
    </row>
    <row r="64" spans="1:2" ht="12.75">
      <c r="A64" s="5"/>
      <c r="B64" s="7"/>
    </row>
    <row r="65" spans="1:2" ht="12.75">
      <c r="A65" s="52" t="s">
        <v>48</v>
      </c>
      <c r="B65" s="7"/>
    </row>
    <row r="66" spans="1:3" ht="12.75">
      <c r="A66" s="42" t="s">
        <v>49</v>
      </c>
      <c r="B66" s="46" t="s">
        <v>41</v>
      </c>
      <c r="C66" s="48">
        <f>(C51+C52)/(E19/100)*859845/E20/1000</f>
        <v>88.09858171487603</v>
      </c>
    </row>
    <row r="67" spans="1:14" ht="12.75">
      <c r="A67" s="42" t="s">
        <v>50</v>
      </c>
      <c r="B67" s="46" t="s">
        <v>42</v>
      </c>
      <c r="C67" s="48">
        <f>C66*E15/1000</f>
        <v>157.25596836105373</v>
      </c>
      <c r="E67">
        <f>C67*1000</f>
        <v>157255.96836105373</v>
      </c>
      <c r="F67">
        <f aca="true" t="shared" si="14" ref="F67:N67">E67</f>
        <v>157255.96836105373</v>
      </c>
      <c r="G67">
        <f t="shared" si="14"/>
        <v>157255.96836105373</v>
      </c>
      <c r="H67">
        <f t="shared" si="14"/>
        <v>157255.96836105373</v>
      </c>
      <c r="I67">
        <f t="shared" si="14"/>
        <v>157255.96836105373</v>
      </c>
      <c r="J67">
        <f t="shared" si="14"/>
        <v>157255.96836105373</v>
      </c>
      <c r="K67">
        <f t="shared" si="14"/>
        <v>157255.96836105373</v>
      </c>
      <c r="L67">
        <f t="shared" si="14"/>
        <v>157255.96836105373</v>
      </c>
      <c r="M67">
        <f t="shared" si="14"/>
        <v>157255.96836105373</v>
      </c>
      <c r="N67">
        <f t="shared" si="14"/>
        <v>157255.96836105373</v>
      </c>
    </row>
    <row r="68" ht="12.75">
      <c r="A68" s="5"/>
    </row>
    <row r="69" ht="13.5" thickBot="1"/>
    <row r="70" spans="1:3" ht="15.75" thickBot="1">
      <c r="A70" s="19" t="s">
        <v>74</v>
      </c>
      <c r="B70" s="17" t="s">
        <v>7</v>
      </c>
      <c r="C70" s="15">
        <f>(C51+C52)*1000</f>
        <v>991800</v>
      </c>
    </row>
    <row r="71" spans="1:3" ht="12.75">
      <c r="A71" s="6"/>
      <c r="B71" s="7"/>
      <c r="C71" s="2"/>
    </row>
    <row r="72" ht="13.5" thickBot="1"/>
    <row r="73" spans="1:3" ht="33" thickBot="1" thickTop="1">
      <c r="A73" s="54" t="s">
        <v>73</v>
      </c>
      <c r="B73" s="37" t="s">
        <v>8</v>
      </c>
      <c r="C73" s="64">
        <f>IF(C70&gt;0,C31*100/C70*C29/100/(1-POWER(1+C29/100,-C28)),"")</f>
        <v>-1.7936746879256624</v>
      </c>
    </row>
    <row r="74" ht="13.5" thickTop="1"/>
  </sheetData>
  <sheetProtection/>
  <mergeCells count="22">
    <mergeCell ref="A23:C23"/>
    <mergeCell ref="A24:C24"/>
    <mergeCell ref="A15:C15"/>
    <mergeCell ref="A12:C12"/>
    <mergeCell ref="A14:C14"/>
    <mergeCell ref="A17:C17"/>
    <mergeCell ref="A25:C25"/>
    <mergeCell ref="A18:C18"/>
    <mergeCell ref="A20:C20"/>
    <mergeCell ref="A21:C21"/>
    <mergeCell ref="A22:C22"/>
    <mergeCell ref="A19:C19"/>
    <mergeCell ref="A2:D2"/>
    <mergeCell ref="A1:D1"/>
    <mergeCell ref="A6:I6"/>
    <mergeCell ref="A7:C7"/>
    <mergeCell ref="A8:C8"/>
    <mergeCell ref="A16:C16"/>
    <mergeCell ref="A9:C9"/>
    <mergeCell ref="A10:C10"/>
    <mergeCell ref="A11:C11"/>
    <mergeCell ref="A13:C13"/>
  </mergeCells>
  <printOptions gridLines="1"/>
  <pageMargins left="1.26" right="0.37" top="0.68" bottom="0.63" header="0.5" footer="0.5"/>
  <pageSetup fitToHeight="1" fitToWidth="1" horizontalDpi="200" verticalDpi="200" orientation="portrait" scale="62"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B76"/>
  <sheetViews>
    <sheetView zoomScalePageLayoutView="0" workbookViewId="0" topLeftCell="A56">
      <selection activeCell="C76" sqref="C76"/>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67" t="s">
        <v>27</v>
      </c>
      <c r="B1" s="68"/>
      <c r="C1" s="66"/>
      <c r="D1" s="66"/>
      <c r="E1" s="1"/>
    </row>
    <row r="2" spans="1:5" ht="24" customHeight="1">
      <c r="A2" s="65" t="s">
        <v>52</v>
      </c>
      <c r="B2" s="66"/>
      <c r="C2" s="66"/>
      <c r="D2" s="66"/>
      <c r="E2" s="1"/>
    </row>
    <row r="3" spans="1:5" ht="24" customHeight="1">
      <c r="A3" s="55" t="s">
        <v>78</v>
      </c>
      <c r="B3" s="56"/>
      <c r="C3" s="56"/>
      <c r="D3" s="56"/>
      <c r="E3" s="1"/>
    </row>
    <row r="4" spans="1:5" ht="12" customHeight="1">
      <c r="A4" s="4"/>
      <c r="B4" s="1"/>
      <c r="C4" s="1"/>
      <c r="D4" s="1"/>
      <c r="E4" s="1"/>
    </row>
    <row r="5" spans="1:5" ht="12" customHeight="1" thickBot="1">
      <c r="A5" s="24" t="s">
        <v>4</v>
      </c>
      <c r="B5" s="1"/>
      <c r="C5" s="1"/>
      <c r="D5" s="1"/>
      <c r="E5" s="1"/>
    </row>
    <row r="6" spans="1:9" ht="72.75" customHeight="1" thickBot="1">
      <c r="A6" s="69" t="s">
        <v>72</v>
      </c>
      <c r="B6" s="70"/>
      <c r="C6" s="70"/>
      <c r="D6" s="70"/>
      <c r="E6" s="70"/>
      <c r="F6" s="70"/>
      <c r="G6" s="70"/>
      <c r="H6" s="70"/>
      <c r="I6" s="71"/>
    </row>
    <row r="7" spans="1:9" ht="15" customHeight="1" thickBot="1">
      <c r="A7" s="72" t="s">
        <v>26</v>
      </c>
      <c r="B7" s="73"/>
      <c r="C7" s="74"/>
      <c r="D7" s="35" t="s">
        <v>1</v>
      </c>
      <c r="E7" s="32"/>
      <c r="F7" s="32"/>
      <c r="G7" s="32"/>
      <c r="H7" s="32"/>
      <c r="I7" s="32"/>
    </row>
    <row r="8" spans="1:9" ht="15" customHeight="1" thickTop="1">
      <c r="A8" s="75" t="s">
        <v>53</v>
      </c>
      <c r="B8" s="76"/>
      <c r="C8" s="77"/>
      <c r="D8" s="33" t="s">
        <v>30</v>
      </c>
      <c r="E8" s="41">
        <v>150</v>
      </c>
      <c r="F8" s="32"/>
      <c r="G8" s="32"/>
      <c r="H8" s="32"/>
      <c r="I8" s="32"/>
    </row>
    <row r="9" spans="1:9" ht="15" customHeight="1">
      <c r="A9" s="78" t="s">
        <v>58</v>
      </c>
      <c r="B9" s="79"/>
      <c r="C9" s="80"/>
      <c r="D9" s="33" t="s">
        <v>29</v>
      </c>
      <c r="E9" s="51">
        <v>48</v>
      </c>
      <c r="F9" s="32"/>
      <c r="G9" s="32"/>
      <c r="H9" s="32"/>
      <c r="I9" s="32"/>
    </row>
    <row r="10" spans="1:9" ht="15" customHeight="1">
      <c r="A10" s="78" t="s">
        <v>28</v>
      </c>
      <c r="B10" s="81"/>
      <c r="C10" s="80"/>
      <c r="D10" s="33" t="s">
        <v>29</v>
      </c>
      <c r="E10" s="53">
        <v>50</v>
      </c>
      <c r="F10" s="32"/>
      <c r="G10" s="32"/>
      <c r="H10" s="32"/>
      <c r="I10" s="32"/>
    </row>
    <row r="11" spans="1:9" ht="15" customHeight="1">
      <c r="A11" s="78" t="s">
        <v>54</v>
      </c>
      <c r="B11" s="79"/>
      <c r="C11" s="80"/>
      <c r="D11" s="33" t="s">
        <v>31</v>
      </c>
      <c r="E11" s="41">
        <v>0.475</v>
      </c>
      <c r="F11" s="32"/>
      <c r="G11" s="32"/>
      <c r="H11" s="32"/>
      <c r="I11" s="32"/>
    </row>
    <row r="12" spans="1:9" ht="15" customHeight="1">
      <c r="A12" s="78" t="s">
        <v>55</v>
      </c>
      <c r="B12" s="81"/>
      <c r="C12" s="80"/>
      <c r="D12" s="33" t="s">
        <v>59</v>
      </c>
      <c r="E12" s="41">
        <v>17660</v>
      </c>
      <c r="F12" s="32"/>
      <c r="G12" s="32"/>
      <c r="H12" s="32"/>
      <c r="I12" s="32"/>
    </row>
    <row r="13" spans="1:9" ht="15" customHeight="1">
      <c r="A13" s="78" t="s">
        <v>56</v>
      </c>
      <c r="B13" s="79"/>
      <c r="C13" s="80"/>
      <c r="D13" s="33" t="s">
        <v>32</v>
      </c>
      <c r="E13" s="51">
        <v>10</v>
      </c>
      <c r="F13" s="32"/>
      <c r="G13" s="32"/>
      <c r="H13" s="32"/>
      <c r="I13" s="32"/>
    </row>
    <row r="14" spans="1:9" ht="15" customHeight="1">
      <c r="A14" s="78" t="s">
        <v>57</v>
      </c>
      <c r="B14" s="81"/>
      <c r="C14" s="80"/>
      <c r="D14" s="33" t="s">
        <v>3</v>
      </c>
      <c r="E14" s="51">
        <v>82</v>
      </c>
      <c r="F14" s="32"/>
      <c r="G14" s="32"/>
      <c r="H14" s="32"/>
      <c r="I14" s="32"/>
    </row>
    <row r="15" spans="1:9" ht="15" customHeight="1">
      <c r="A15" s="78" t="s">
        <v>33</v>
      </c>
      <c r="B15" s="79"/>
      <c r="C15" s="80"/>
      <c r="D15" s="33" t="s">
        <v>34</v>
      </c>
      <c r="E15" s="41">
        <v>1785</v>
      </c>
      <c r="F15" s="32"/>
      <c r="G15" s="32"/>
      <c r="H15" s="32"/>
      <c r="I15" s="32"/>
    </row>
    <row r="16" spans="1:9" ht="15" customHeight="1">
      <c r="A16" s="78" t="s">
        <v>60</v>
      </c>
      <c r="B16" s="79"/>
      <c r="C16" s="80"/>
      <c r="D16" s="33" t="s">
        <v>35</v>
      </c>
      <c r="E16" s="41">
        <v>186</v>
      </c>
      <c r="F16" s="32"/>
      <c r="G16" s="32"/>
      <c r="H16" s="32"/>
      <c r="I16" s="32"/>
    </row>
    <row r="17" spans="1:9" ht="15" customHeight="1">
      <c r="A17" s="78" t="s">
        <v>63</v>
      </c>
      <c r="B17" s="79"/>
      <c r="C17" s="80"/>
      <c r="D17" s="33" t="s">
        <v>35</v>
      </c>
      <c r="E17" s="41">
        <f>365-E16</f>
        <v>179</v>
      </c>
      <c r="F17" s="32"/>
      <c r="G17" s="32"/>
      <c r="H17" s="32"/>
      <c r="I17" s="32"/>
    </row>
    <row r="18" spans="1:9" ht="15" customHeight="1">
      <c r="A18" s="78" t="s">
        <v>36</v>
      </c>
      <c r="B18" s="79"/>
      <c r="C18" s="80"/>
      <c r="D18" s="33" t="s">
        <v>29</v>
      </c>
      <c r="E18" s="41">
        <v>80</v>
      </c>
      <c r="F18" s="32"/>
      <c r="G18" s="32"/>
      <c r="H18" s="32"/>
      <c r="I18" s="32"/>
    </row>
    <row r="19" spans="1:9" ht="15" customHeight="1">
      <c r="A19" s="78" t="s">
        <v>40</v>
      </c>
      <c r="B19" s="81"/>
      <c r="C19" s="80"/>
      <c r="D19" s="33" t="s">
        <v>3</v>
      </c>
      <c r="E19" s="41">
        <v>88</v>
      </c>
      <c r="F19" s="32"/>
      <c r="G19" s="32"/>
      <c r="H19" s="32"/>
      <c r="I19" s="32"/>
    </row>
    <row r="20" spans="1:9" ht="15" customHeight="1">
      <c r="A20" s="78" t="s">
        <v>38</v>
      </c>
      <c r="B20" s="79"/>
      <c r="C20" s="80"/>
      <c r="D20" s="33" t="s">
        <v>37</v>
      </c>
      <c r="E20" s="41">
        <v>11000</v>
      </c>
      <c r="F20" s="32"/>
      <c r="G20" s="32"/>
      <c r="H20" s="32"/>
      <c r="I20" s="32"/>
    </row>
    <row r="21" spans="1:9" ht="15" customHeight="1">
      <c r="A21" s="78" t="s">
        <v>69</v>
      </c>
      <c r="B21" s="79"/>
      <c r="C21" s="80"/>
      <c r="D21" s="33" t="s">
        <v>30</v>
      </c>
      <c r="E21" s="41">
        <v>1.5</v>
      </c>
      <c r="F21" s="32"/>
      <c r="G21" s="32"/>
      <c r="H21" s="32"/>
      <c r="I21" s="32"/>
    </row>
    <row r="22" spans="1:9" ht="15" customHeight="1">
      <c r="A22" s="78" t="s">
        <v>43</v>
      </c>
      <c r="B22" s="79"/>
      <c r="C22" s="80"/>
      <c r="D22" s="33" t="s">
        <v>8</v>
      </c>
      <c r="E22" s="41">
        <v>36.4</v>
      </c>
      <c r="F22" s="32"/>
      <c r="G22" s="32"/>
      <c r="H22" s="32"/>
      <c r="I22" s="32"/>
    </row>
    <row r="23" spans="1:9" ht="15" customHeight="1">
      <c r="A23" s="78" t="s">
        <v>71</v>
      </c>
      <c r="B23" s="79"/>
      <c r="C23" s="80"/>
      <c r="D23" s="33" t="s">
        <v>47</v>
      </c>
      <c r="E23" s="41">
        <v>1800</v>
      </c>
      <c r="F23" s="32"/>
      <c r="G23" s="32"/>
      <c r="H23" s="32"/>
      <c r="I23" s="32"/>
    </row>
    <row r="24" spans="1:9" ht="15" customHeight="1">
      <c r="A24" s="78"/>
      <c r="B24" s="79"/>
      <c r="C24" s="80"/>
      <c r="D24" s="32"/>
      <c r="E24" s="41"/>
      <c r="F24" s="32"/>
      <c r="G24" s="32"/>
      <c r="H24" s="32"/>
      <c r="I24" s="32"/>
    </row>
    <row r="25" spans="1:9" ht="15" customHeight="1" thickBot="1">
      <c r="A25" s="82"/>
      <c r="B25" s="83"/>
      <c r="C25" s="84"/>
      <c r="D25" s="32"/>
      <c r="E25" s="32"/>
      <c r="F25" s="32"/>
      <c r="G25" s="32"/>
      <c r="H25" s="32"/>
      <c r="I25" s="32"/>
    </row>
    <row r="26" spans="1:9" ht="15" customHeight="1" thickBot="1">
      <c r="A26" s="31"/>
      <c r="B26" s="36"/>
      <c r="C26" s="36"/>
      <c r="D26" s="32"/>
      <c r="E26" s="32"/>
      <c r="F26" s="32"/>
      <c r="G26" s="32"/>
      <c r="H26" s="32"/>
      <c r="I26" s="32"/>
    </row>
    <row r="27" spans="1:3" ht="14.25" thickBot="1" thickTop="1">
      <c r="A27" s="34" t="s">
        <v>0</v>
      </c>
      <c r="B27" s="3" t="s">
        <v>1</v>
      </c>
      <c r="C27" s="2"/>
    </row>
    <row r="28" spans="1:3" ht="25.5" customHeight="1" thickTop="1">
      <c r="A28" s="18" t="s">
        <v>22</v>
      </c>
      <c r="B28" s="38" t="s">
        <v>6</v>
      </c>
      <c r="C28" s="39">
        <f>E13</f>
        <v>10</v>
      </c>
    </row>
    <row r="29" spans="1:54" ht="15" thickBot="1">
      <c r="A29" s="16" t="s">
        <v>2</v>
      </c>
      <c r="B29" s="38" t="s">
        <v>3</v>
      </c>
      <c r="C29" s="40">
        <v>8</v>
      </c>
      <c r="D29" s="14">
        <v>1</v>
      </c>
      <c r="E29" s="14">
        <f>1/(1+C29/100)</f>
        <v>0.9259259259259258</v>
      </c>
      <c r="F29" s="14">
        <f aca="true" t="shared" si="0" ref="F29:AK29">E29/(1+$C29/100)</f>
        <v>0.8573388203017831</v>
      </c>
      <c r="G29" s="14">
        <f t="shared" si="0"/>
        <v>0.7938322410201695</v>
      </c>
      <c r="H29" s="14">
        <f t="shared" si="0"/>
        <v>0.7350298527964532</v>
      </c>
      <c r="I29" s="14">
        <f t="shared" si="0"/>
        <v>0.6805831970337529</v>
      </c>
      <c r="J29" s="14">
        <f t="shared" si="0"/>
        <v>0.6301696268831045</v>
      </c>
      <c r="K29" s="14">
        <f t="shared" si="0"/>
        <v>0.5834903952621338</v>
      </c>
      <c r="L29" s="14">
        <f t="shared" si="0"/>
        <v>0.5402688845019756</v>
      </c>
      <c r="M29" s="14">
        <f t="shared" si="0"/>
        <v>0.5002489671314588</v>
      </c>
      <c r="N29" s="14">
        <f t="shared" si="0"/>
        <v>0.4631934880846841</v>
      </c>
      <c r="O29" s="14">
        <f t="shared" si="0"/>
        <v>0.4288828593376704</v>
      </c>
      <c r="P29" s="14">
        <f t="shared" si="0"/>
        <v>0.3971137586459911</v>
      </c>
      <c r="Q29" s="14">
        <f t="shared" si="0"/>
        <v>0.36769792467221396</v>
      </c>
      <c r="R29" s="14">
        <f t="shared" si="0"/>
        <v>0.3404610413631611</v>
      </c>
      <c r="S29" s="14">
        <f t="shared" si="0"/>
        <v>0.3152417049658899</v>
      </c>
      <c r="T29" s="14">
        <f t="shared" si="0"/>
        <v>0.2918904675610091</v>
      </c>
      <c r="U29" s="14">
        <f t="shared" si="0"/>
        <v>0.27026895144537877</v>
      </c>
      <c r="V29" s="14">
        <f t="shared" si="0"/>
        <v>0.2502490291160914</v>
      </c>
      <c r="W29" s="14">
        <f t="shared" si="0"/>
        <v>0.23171206399638095</v>
      </c>
      <c r="X29" s="14">
        <f t="shared" si="0"/>
        <v>0.21454820740405642</v>
      </c>
      <c r="Y29" s="14">
        <f t="shared" si="0"/>
        <v>0.19865574759634852</v>
      </c>
      <c r="Z29" s="14">
        <f t="shared" si="0"/>
        <v>0.18394050703365603</v>
      </c>
      <c r="AA29" s="14">
        <f t="shared" si="0"/>
        <v>0.17031528429042223</v>
      </c>
      <c r="AB29" s="14">
        <f t="shared" si="0"/>
        <v>0.15769933730594649</v>
      </c>
      <c r="AC29" s="14">
        <f t="shared" si="0"/>
        <v>0.14601790491291342</v>
      </c>
      <c r="AD29" s="14">
        <f t="shared" si="0"/>
        <v>0.13520176380825316</v>
      </c>
      <c r="AE29" s="14">
        <f t="shared" si="0"/>
        <v>0.12518681834097514</v>
      </c>
      <c r="AF29" s="14">
        <f t="shared" si="0"/>
        <v>0.11591372068608809</v>
      </c>
      <c r="AG29" s="14">
        <f t="shared" si="0"/>
        <v>0.10732751915378526</v>
      </c>
      <c r="AH29" s="14">
        <f t="shared" si="0"/>
        <v>0.09937733254980116</v>
      </c>
      <c r="AI29" s="14">
        <f t="shared" si="0"/>
        <v>0.09201604865722329</v>
      </c>
      <c r="AJ29" s="14">
        <f t="shared" si="0"/>
        <v>0.08520004505298452</v>
      </c>
      <c r="AK29" s="14">
        <f t="shared" si="0"/>
        <v>0.0788889306046153</v>
      </c>
      <c r="AL29" s="14">
        <f aca="true" t="shared" si="1" ref="AL29:BB29">AK29/(1+$C29/100)</f>
        <v>0.07304530611538453</v>
      </c>
      <c r="AM29" s="14">
        <f t="shared" si="1"/>
        <v>0.06763454269943012</v>
      </c>
      <c r="AN29" s="14">
        <f t="shared" si="1"/>
        <v>0.0626245765735464</v>
      </c>
      <c r="AO29" s="14">
        <f t="shared" si="1"/>
        <v>0.057985719049580005</v>
      </c>
      <c r="AP29" s="14">
        <f t="shared" si="1"/>
        <v>0.05369048060146296</v>
      </c>
      <c r="AQ29" s="14">
        <f t="shared" si="1"/>
        <v>0.04971340796431755</v>
      </c>
      <c r="AR29" s="14">
        <f t="shared" si="1"/>
        <v>0.04603093330029402</v>
      </c>
      <c r="AS29" s="14">
        <f t="shared" si="1"/>
        <v>0.042621234537309274</v>
      </c>
      <c r="AT29" s="14">
        <f t="shared" si="1"/>
        <v>0.03946410605306414</v>
      </c>
      <c r="AU29" s="14">
        <f t="shared" si="1"/>
        <v>0.03654083893802235</v>
      </c>
      <c r="AV29" s="14">
        <f t="shared" si="1"/>
        <v>0.033834110127798474</v>
      </c>
      <c r="AW29" s="14">
        <f t="shared" si="1"/>
        <v>0.03132787974796155</v>
      </c>
      <c r="AX29" s="14">
        <f t="shared" si="1"/>
        <v>0.02900729606292736</v>
      </c>
      <c r="AY29" s="14">
        <f t="shared" si="1"/>
        <v>0.02685860746567348</v>
      </c>
      <c r="AZ29" s="14">
        <f t="shared" si="1"/>
        <v>0.0248690809867347</v>
      </c>
      <c r="BA29" s="14">
        <f t="shared" si="1"/>
        <v>0.023026926839569164</v>
      </c>
      <c r="BB29" s="14">
        <f t="shared" si="1"/>
        <v>0.02132122855515663</v>
      </c>
    </row>
    <row r="30" ht="15" thickBot="1">
      <c r="D30" s="28" t="s">
        <v>5</v>
      </c>
    </row>
    <row r="31" spans="1:54" ht="15.75" thickBot="1">
      <c r="A31" s="19" t="s">
        <v>21</v>
      </c>
      <c r="B31" s="17" t="s">
        <v>17</v>
      </c>
      <c r="C31" s="15">
        <f>C32+C51</f>
        <v>-119084.06672815565</v>
      </c>
      <c r="D31" s="28">
        <v>0</v>
      </c>
      <c r="E31" s="28">
        <f aca="true" t="shared" si="2" ref="E31:AJ31">IF(D31&lt;$C28,D31+1,"")</f>
        <v>1</v>
      </c>
      <c r="F31" s="28">
        <f t="shared" si="2"/>
        <v>2</v>
      </c>
      <c r="G31" s="28">
        <f t="shared" si="2"/>
        <v>3</v>
      </c>
      <c r="H31" s="28">
        <f t="shared" si="2"/>
        <v>4</v>
      </c>
      <c r="I31" s="28">
        <f t="shared" si="2"/>
        <v>5</v>
      </c>
      <c r="J31" s="28">
        <f t="shared" si="2"/>
        <v>6</v>
      </c>
      <c r="K31" s="28">
        <f t="shared" si="2"/>
        <v>7</v>
      </c>
      <c r="L31" s="28">
        <f t="shared" si="2"/>
        <v>8</v>
      </c>
      <c r="M31" s="28">
        <f t="shared" si="2"/>
        <v>9</v>
      </c>
      <c r="N31" s="28">
        <f t="shared" si="2"/>
        <v>10</v>
      </c>
      <c r="O31" s="28">
        <f t="shared" si="2"/>
      </c>
      <c r="P31" s="28">
        <f t="shared" si="2"/>
      </c>
      <c r="Q31" s="28">
        <f t="shared" si="2"/>
      </c>
      <c r="R31" s="28">
        <f t="shared" si="2"/>
      </c>
      <c r="S31" s="28">
        <f t="shared" si="2"/>
      </c>
      <c r="T31" s="28">
        <f t="shared" si="2"/>
      </c>
      <c r="U31" s="28">
        <f t="shared" si="2"/>
      </c>
      <c r="V31" s="28">
        <f t="shared" si="2"/>
      </c>
      <c r="W31" s="28">
        <f t="shared" si="2"/>
      </c>
      <c r="X31" s="28">
        <f t="shared" si="2"/>
      </c>
      <c r="Y31" s="28">
        <f t="shared" si="2"/>
      </c>
      <c r="Z31" s="28">
        <f t="shared" si="2"/>
      </c>
      <c r="AA31" s="28">
        <f t="shared" si="2"/>
      </c>
      <c r="AB31" s="28">
        <f t="shared" si="2"/>
      </c>
      <c r="AC31" s="28">
        <f t="shared" si="2"/>
      </c>
      <c r="AD31" s="28">
        <f t="shared" si="2"/>
      </c>
      <c r="AE31" s="28">
        <f t="shared" si="2"/>
      </c>
      <c r="AF31" s="28">
        <f t="shared" si="2"/>
      </c>
      <c r="AG31" s="28">
        <f t="shared" si="2"/>
      </c>
      <c r="AH31" s="28">
        <f t="shared" si="2"/>
      </c>
      <c r="AI31" s="28">
        <f t="shared" si="2"/>
      </c>
      <c r="AJ31" s="28">
        <f t="shared" si="2"/>
      </c>
      <c r="AK31" s="28">
        <f aca="true" t="shared" si="3" ref="AK31:BB31">IF(AJ31&lt;$C28,AJ31+1,"")</f>
      </c>
      <c r="AL31" s="28">
        <f t="shared" si="3"/>
      </c>
      <c r="AM31" s="28">
        <f t="shared" si="3"/>
      </c>
      <c r="AN31" s="28">
        <f t="shared" si="3"/>
      </c>
      <c r="AO31" s="28">
        <f t="shared" si="3"/>
      </c>
      <c r="AP31" s="28">
        <f t="shared" si="3"/>
      </c>
      <c r="AQ31" s="28">
        <f t="shared" si="3"/>
      </c>
      <c r="AR31" s="28">
        <f t="shared" si="3"/>
      </c>
      <c r="AS31" s="28">
        <f t="shared" si="3"/>
      </c>
      <c r="AT31" s="28">
        <f t="shared" si="3"/>
      </c>
      <c r="AU31" s="28">
        <f t="shared" si="3"/>
      </c>
      <c r="AV31" s="28">
        <f t="shared" si="3"/>
      </c>
      <c r="AW31" s="28">
        <f t="shared" si="3"/>
      </c>
      <c r="AX31" s="28">
        <f t="shared" si="3"/>
      </c>
      <c r="AY31" s="28">
        <f t="shared" si="3"/>
      </c>
      <c r="AZ31" s="28">
        <f t="shared" si="3"/>
      </c>
      <c r="BA31" s="28">
        <f t="shared" si="3"/>
      </c>
      <c r="BB31" s="28">
        <f t="shared" si="3"/>
      </c>
    </row>
    <row r="32" spans="1:54" ht="19.5" thickBot="1">
      <c r="A32" s="25" t="s">
        <v>9</v>
      </c>
      <c r="B32" s="20" t="s">
        <v>17</v>
      </c>
      <c r="C32" s="15">
        <f>SUM(D32:BB32)</f>
        <v>28889.37336156756</v>
      </c>
      <c r="D32" s="26">
        <f aca="true" t="shared" si="4" ref="D32:AI32">D33*D29</f>
        <v>286.033361567568</v>
      </c>
      <c r="E32" s="26">
        <f t="shared" si="4"/>
        <v>6633.232523305351</v>
      </c>
      <c r="F32" s="26">
        <f t="shared" si="4"/>
        <v>6141.881966023472</v>
      </c>
      <c r="G32" s="26">
        <f t="shared" si="4"/>
        <v>5686.927746318029</v>
      </c>
      <c r="H32" s="26">
        <f t="shared" si="4"/>
        <v>5265.67383918336</v>
      </c>
      <c r="I32" s="26">
        <f t="shared" si="4"/>
        <v>4875.623925169778</v>
      </c>
      <c r="J32" s="26">
        <f t="shared" si="4"/>
        <v>0</v>
      </c>
      <c r="K32" s="26">
        <f t="shared" si="4"/>
        <v>0</v>
      </c>
      <c r="L32" s="26">
        <f t="shared" si="4"/>
        <v>0</v>
      </c>
      <c r="M32" s="26">
        <f t="shared" si="4"/>
        <v>0</v>
      </c>
      <c r="N32" s="26">
        <f t="shared" si="4"/>
        <v>0</v>
      </c>
      <c r="O32" s="26">
        <f t="shared" si="4"/>
        <v>0</v>
      </c>
      <c r="P32" s="26">
        <f t="shared" si="4"/>
        <v>0</v>
      </c>
      <c r="Q32" s="26">
        <f t="shared" si="4"/>
        <v>0</v>
      </c>
      <c r="R32" s="26">
        <f t="shared" si="4"/>
        <v>0</v>
      </c>
      <c r="S32" s="26">
        <f t="shared" si="4"/>
        <v>0</v>
      </c>
      <c r="T32" s="26">
        <f t="shared" si="4"/>
        <v>0</v>
      </c>
      <c r="U32" s="26">
        <f t="shared" si="4"/>
        <v>0</v>
      </c>
      <c r="V32" s="26">
        <f t="shared" si="4"/>
        <v>0</v>
      </c>
      <c r="W32" s="26">
        <f t="shared" si="4"/>
        <v>0</v>
      </c>
      <c r="X32" s="26">
        <f t="shared" si="4"/>
        <v>0</v>
      </c>
      <c r="Y32" s="26">
        <f t="shared" si="4"/>
        <v>0</v>
      </c>
      <c r="Z32" s="26">
        <f t="shared" si="4"/>
        <v>0</v>
      </c>
      <c r="AA32" s="26">
        <f t="shared" si="4"/>
        <v>0</v>
      </c>
      <c r="AB32" s="26">
        <f t="shared" si="4"/>
        <v>0</v>
      </c>
      <c r="AC32" s="26">
        <f t="shared" si="4"/>
        <v>0</v>
      </c>
      <c r="AD32" s="26">
        <f t="shared" si="4"/>
        <v>0</v>
      </c>
      <c r="AE32" s="26">
        <f t="shared" si="4"/>
        <v>0</v>
      </c>
      <c r="AF32" s="26">
        <f t="shared" si="4"/>
        <v>0</v>
      </c>
      <c r="AG32" s="26">
        <f t="shared" si="4"/>
        <v>0</v>
      </c>
      <c r="AH32" s="26">
        <f t="shared" si="4"/>
        <v>0</v>
      </c>
      <c r="AI32" s="26">
        <f t="shared" si="4"/>
        <v>0</v>
      </c>
      <c r="AJ32" s="26">
        <f aca="true" t="shared" si="5" ref="AJ32:BB32">AJ33*AJ29</f>
        <v>0</v>
      </c>
      <c r="AK32" s="26">
        <f t="shared" si="5"/>
        <v>0</v>
      </c>
      <c r="AL32" s="26">
        <f t="shared" si="5"/>
        <v>0</v>
      </c>
      <c r="AM32" s="26">
        <f t="shared" si="5"/>
        <v>0</v>
      </c>
      <c r="AN32" s="26">
        <f t="shared" si="5"/>
        <v>0</v>
      </c>
      <c r="AO32" s="26">
        <f t="shared" si="5"/>
        <v>0</v>
      </c>
      <c r="AP32" s="26">
        <f t="shared" si="5"/>
        <v>0</v>
      </c>
      <c r="AQ32" s="26">
        <f t="shared" si="5"/>
        <v>0</v>
      </c>
      <c r="AR32" s="26">
        <f t="shared" si="5"/>
        <v>0</v>
      </c>
      <c r="AS32" s="26">
        <f t="shared" si="5"/>
        <v>0</v>
      </c>
      <c r="AT32" s="26">
        <f t="shared" si="5"/>
        <v>0</v>
      </c>
      <c r="AU32" s="26">
        <f t="shared" si="5"/>
        <v>0</v>
      </c>
      <c r="AV32" s="26">
        <f t="shared" si="5"/>
        <v>0</v>
      </c>
      <c r="AW32" s="26">
        <f t="shared" si="5"/>
        <v>0</v>
      </c>
      <c r="AX32" s="26">
        <f t="shared" si="5"/>
        <v>0</v>
      </c>
      <c r="AY32" s="26">
        <f t="shared" si="5"/>
        <v>0</v>
      </c>
      <c r="AZ32" s="26">
        <f t="shared" si="5"/>
        <v>0</v>
      </c>
      <c r="BA32" s="26">
        <f t="shared" si="5"/>
        <v>0</v>
      </c>
      <c r="BB32" s="26">
        <f t="shared" si="5"/>
        <v>0</v>
      </c>
    </row>
    <row r="33" spans="1:54" ht="14.25" customHeight="1">
      <c r="A33" s="29" t="s">
        <v>24</v>
      </c>
      <c r="B33" s="27" t="s">
        <v>17</v>
      </c>
      <c r="C33" s="11"/>
      <c r="D33" s="50">
        <f aca="true" t="shared" si="6" ref="D33:I33">D35+D36+D41+D47+D48</f>
        <v>286.033361567568</v>
      </c>
      <c r="E33" s="50">
        <f t="shared" si="6"/>
        <v>7163.891125169779</v>
      </c>
      <c r="F33" s="50">
        <f t="shared" si="6"/>
        <v>7163.891125169779</v>
      </c>
      <c r="G33" s="50">
        <f t="shared" si="6"/>
        <v>7163.891125169779</v>
      </c>
      <c r="H33" s="50">
        <f t="shared" si="6"/>
        <v>7163.891125169779</v>
      </c>
      <c r="I33" s="50">
        <f t="shared" si="6"/>
        <v>7163.891125169779</v>
      </c>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row>
    <row r="34" spans="1:3" ht="12.75">
      <c r="A34" s="12" t="s">
        <v>10</v>
      </c>
      <c r="C34" s="8"/>
    </row>
    <row r="35" spans="1:3" ht="12.75">
      <c r="A35" s="42" t="s">
        <v>61</v>
      </c>
      <c r="B35" s="43" t="s">
        <v>29</v>
      </c>
      <c r="C35" s="44">
        <f>E9</f>
        <v>48</v>
      </c>
    </row>
    <row r="36" spans="1:3" ht="12.75">
      <c r="A36" s="42" t="s">
        <v>28</v>
      </c>
      <c r="B36" s="43" t="s">
        <v>29</v>
      </c>
      <c r="C36" s="44">
        <f>E10</f>
        <v>50</v>
      </c>
    </row>
    <row r="37" ht="12.75">
      <c r="C37" s="8"/>
    </row>
    <row r="38" ht="12.75">
      <c r="A38" s="12" t="s">
        <v>11</v>
      </c>
    </row>
    <row r="39" spans="1:3" ht="12.75">
      <c r="A39" s="45" t="s">
        <v>19</v>
      </c>
      <c r="B39" s="46" t="s">
        <v>6</v>
      </c>
      <c r="C39" s="45">
        <v>40</v>
      </c>
    </row>
    <row r="40" spans="1:3" ht="12.75">
      <c r="A40" s="45" t="s">
        <v>51</v>
      </c>
      <c r="B40" s="46" t="s">
        <v>29</v>
      </c>
      <c r="C40" s="45">
        <f>E18</f>
        <v>80</v>
      </c>
    </row>
    <row r="41" spans="1:4" ht="12.75">
      <c r="A41" s="45" t="s">
        <v>62</v>
      </c>
      <c r="B41" s="46" t="s">
        <v>29</v>
      </c>
      <c r="C41" s="48">
        <f>C40*C43</f>
        <v>45.01668078378427</v>
      </c>
      <c r="D41" s="49"/>
    </row>
    <row r="42" spans="1:3" ht="12.75">
      <c r="A42" s="10" t="s">
        <v>20</v>
      </c>
      <c r="B42" s="7" t="s">
        <v>17</v>
      </c>
      <c r="C42" s="23"/>
    </row>
    <row r="43" spans="1:3" ht="14.25" customHeight="1">
      <c r="A43" s="22" t="s">
        <v>23</v>
      </c>
      <c r="B43" s="21"/>
      <c r="C43" s="16">
        <f>(1-POWER(1+C29/100,-C28))/(1-POWER(1+C29/100,-C39))</f>
        <v>0.5627085097973034</v>
      </c>
    </row>
    <row r="44" spans="1:3" ht="12.75">
      <c r="A44" s="9"/>
      <c r="B44" s="7"/>
      <c r="C44" s="11"/>
    </row>
    <row r="45" spans="1:3" ht="12.75">
      <c r="A45" s="13" t="s">
        <v>12</v>
      </c>
      <c r="C45" s="11"/>
    </row>
    <row r="46" spans="1:9" ht="12.75">
      <c r="A46" s="59" t="s">
        <v>80</v>
      </c>
      <c r="B46" s="60" t="s">
        <v>17</v>
      </c>
      <c r="C46" s="62">
        <f>143016.680783784*0.2</f>
        <v>28603.3361567568</v>
      </c>
      <c r="D46" s="57"/>
      <c r="E46" s="57"/>
      <c r="F46" s="57"/>
      <c r="G46" s="57"/>
      <c r="H46" s="57"/>
      <c r="I46" s="57"/>
    </row>
    <row r="47" spans="1:9" ht="12.75">
      <c r="A47" s="59" t="s">
        <v>81</v>
      </c>
      <c r="B47" s="60" t="s">
        <v>17</v>
      </c>
      <c r="C47" s="62">
        <f>SUM(E47:I47)</f>
        <v>35819.455625848896</v>
      </c>
      <c r="D47" s="57"/>
      <c r="E47" s="58">
        <v>7163.891125169779</v>
      </c>
      <c r="F47" s="58">
        <v>7163.891125169779</v>
      </c>
      <c r="G47" s="58">
        <v>7163.891125169779</v>
      </c>
      <c r="H47" s="58">
        <v>7163.891125169779</v>
      </c>
      <c r="I47" s="58">
        <v>7163.891125169779</v>
      </c>
    </row>
    <row r="48" spans="1:9" ht="13.5" customHeight="1">
      <c r="A48" s="63" t="s">
        <v>82</v>
      </c>
      <c r="B48" s="60" t="s">
        <v>17</v>
      </c>
      <c r="C48" s="61"/>
      <c r="D48" s="58">
        <f>C46*0.01</f>
        <v>286.033361567568</v>
      </c>
      <c r="E48" s="57"/>
      <c r="F48" s="57"/>
      <c r="G48" s="57"/>
      <c r="H48" s="57"/>
      <c r="I48" s="57"/>
    </row>
    <row r="49" spans="1:3" ht="12.75">
      <c r="A49" s="9"/>
      <c r="C49" s="11"/>
    </row>
    <row r="50" spans="4:54" ht="15" thickBot="1">
      <c r="D50" s="28" t="s">
        <v>5</v>
      </c>
      <c r="E50" s="28">
        <f aca="true" t="shared" si="7" ref="E50:AJ50">E31</f>
        <v>1</v>
      </c>
      <c r="F50" s="28">
        <f t="shared" si="7"/>
        <v>2</v>
      </c>
      <c r="G50" s="28">
        <f t="shared" si="7"/>
        <v>3</v>
      </c>
      <c r="H50" s="28">
        <f t="shared" si="7"/>
        <v>4</v>
      </c>
      <c r="I50" s="28">
        <f t="shared" si="7"/>
        <v>5</v>
      </c>
      <c r="J50" s="28">
        <f t="shared" si="7"/>
        <v>6</v>
      </c>
      <c r="K50" s="28">
        <f t="shared" si="7"/>
        <v>7</v>
      </c>
      <c r="L50" s="28">
        <f t="shared" si="7"/>
        <v>8</v>
      </c>
      <c r="M50" s="28">
        <f t="shared" si="7"/>
        <v>9</v>
      </c>
      <c r="N50" s="28">
        <f t="shared" si="7"/>
        <v>10</v>
      </c>
      <c r="O50" s="28">
        <f t="shared" si="7"/>
      </c>
      <c r="P50" s="28">
        <f t="shared" si="7"/>
      </c>
      <c r="Q50" s="28">
        <f t="shared" si="7"/>
      </c>
      <c r="R50" s="28">
        <f t="shared" si="7"/>
      </c>
      <c r="S50" s="28">
        <f t="shared" si="7"/>
      </c>
      <c r="T50" s="28">
        <f t="shared" si="7"/>
      </c>
      <c r="U50" s="28">
        <f t="shared" si="7"/>
      </c>
      <c r="V50" s="28">
        <f t="shared" si="7"/>
      </c>
      <c r="W50" s="28">
        <f t="shared" si="7"/>
      </c>
      <c r="X50" s="28">
        <f t="shared" si="7"/>
      </c>
      <c r="Y50" s="28">
        <f t="shared" si="7"/>
      </c>
      <c r="Z50" s="28">
        <f t="shared" si="7"/>
      </c>
      <c r="AA50" s="28">
        <f t="shared" si="7"/>
      </c>
      <c r="AB50" s="28">
        <f t="shared" si="7"/>
      </c>
      <c r="AC50" s="28">
        <f t="shared" si="7"/>
      </c>
      <c r="AD50" s="28">
        <f t="shared" si="7"/>
      </c>
      <c r="AE50" s="28">
        <f t="shared" si="7"/>
      </c>
      <c r="AF50" s="28">
        <f t="shared" si="7"/>
      </c>
      <c r="AG50" s="28">
        <f t="shared" si="7"/>
      </c>
      <c r="AH50" s="28">
        <f t="shared" si="7"/>
      </c>
      <c r="AI50" s="28">
        <f t="shared" si="7"/>
      </c>
      <c r="AJ50" s="28">
        <f t="shared" si="7"/>
      </c>
      <c r="AK50" s="28">
        <f aca="true" t="shared" si="8" ref="AK50:BB50">AK31</f>
      </c>
      <c r="AL50" s="28">
        <f t="shared" si="8"/>
      </c>
      <c r="AM50" s="28">
        <f t="shared" si="8"/>
      </c>
      <c r="AN50" s="28">
        <f t="shared" si="8"/>
      </c>
      <c r="AO50" s="28">
        <f t="shared" si="8"/>
      </c>
      <c r="AP50" s="28">
        <f t="shared" si="8"/>
      </c>
      <c r="AQ50" s="28">
        <f t="shared" si="8"/>
      </c>
      <c r="AR50" s="28">
        <f t="shared" si="8"/>
      </c>
      <c r="AS50" s="28">
        <f t="shared" si="8"/>
      </c>
      <c r="AT50" s="28">
        <f t="shared" si="8"/>
      </c>
      <c r="AU50" s="28">
        <f t="shared" si="8"/>
      </c>
      <c r="AV50" s="28">
        <f t="shared" si="8"/>
      </c>
      <c r="AW50" s="28">
        <f t="shared" si="8"/>
      </c>
      <c r="AX50" s="28">
        <f t="shared" si="8"/>
      </c>
      <c r="AY50" s="28">
        <f t="shared" si="8"/>
      </c>
      <c r="AZ50" s="28">
        <f t="shared" si="8"/>
      </c>
      <c r="BA50" s="28">
        <f t="shared" si="8"/>
      </c>
      <c r="BB50" s="28">
        <f t="shared" si="8"/>
      </c>
    </row>
    <row r="51" spans="1:54" ht="19.5" thickBot="1">
      <c r="A51" s="25" t="s">
        <v>15</v>
      </c>
      <c r="B51" s="21" t="s">
        <v>17</v>
      </c>
      <c r="C51" s="15">
        <f>SUM(E51:BB51)</f>
        <v>-147973.4400897232</v>
      </c>
      <c r="D51" s="1"/>
      <c r="E51" s="26">
        <f aca="true" t="shared" si="9" ref="E51:AJ51">E52*E29</f>
        <v>-20418.894553072943</v>
      </c>
      <c r="F51" s="26">
        <f t="shared" si="9"/>
        <v>-18906.383845437907</v>
      </c>
      <c r="G51" s="26">
        <f t="shared" si="9"/>
        <v>-17505.91096799806</v>
      </c>
      <c r="H51" s="26">
        <f t="shared" si="9"/>
        <v>-16209.176822220426</v>
      </c>
      <c r="I51" s="26">
        <f t="shared" si="9"/>
        <v>-15008.497057611505</v>
      </c>
      <c r="J51" s="26">
        <f t="shared" si="9"/>
        <v>-13896.756534825467</v>
      </c>
      <c r="K51" s="26">
        <f t="shared" si="9"/>
        <v>-12867.36716187543</v>
      </c>
      <c r="L51" s="26">
        <f t="shared" si="9"/>
        <v>-11914.228853588362</v>
      </c>
      <c r="M51" s="26">
        <f t="shared" si="9"/>
        <v>-11031.693382952184</v>
      </c>
      <c r="N51" s="26">
        <f t="shared" si="9"/>
        <v>-10214.530910140911</v>
      </c>
      <c r="O51" s="26">
        <f t="shared" si="9"/>
        <v>0</v>
      </c>
      <c r="P51" s="26">
        <f t="shared" si="9"/>
        <v>0</v>
      </c>
      <c r="Q51" s="26">
        <f t="shared" si="9"/>
        <v>0</v>
      </c>
      <c r="R51" s="26">
        <f t="shared" si="9"/>
        <v>0</v>
      </c>
      <c r="S51" s="26">
        <f t="shared" si="9"/>
        <v>0</v>
      </c>
      <c r="T51" s="26">
        <f t="shared" si="9"/>
        <v>0</v>
      </c>
      <c r="U51" s="26">
        <f t="shared" si="9"/>
        <v>0</v>
      </c>
      <c r="V51" s="26">
        <f t="shared" si="9"/>
        <v>0</v>
      </c>
      <c r="W51" s="26">
        <f t="shared" si="9"/>
        <v>0</v>
      </c>
      <c r="X51" s="26">
        <f t="shared" si="9"/>
        <v>0</v>
      </c>
      <c r="Y51" s="26">
        <f t="shared" si="9"/>
        <v>0</v>
      </c>
      <c r="Z51" s="26">
        <f t="shared" si="9"/>
        <v>0</v>
      </c>
      <c r="AA51" s="26">
        <f t="shared" si="9"/>
        <v>0</v>
      </c>
      <c r="AB51" s="26">
        <f t="shared" si="9"/>
        <v>0</v>
      </c>
      <c r="AC51" s="26">
        <f t="shared" si="9"/>
        <v>0</v>
      </c>
      <c r="AD51" s="26">
        <f t="shared" si="9"/>
        <v>0</v>
      </c>
      <c r="AE51" s="26">
        <f t="shared" si="9"/>
        <v>0</v>
      </c>
      <c r="AF51" s="26">
        <f t="shared" si="9"/>
        <v>0</v>
      </c>
      <c r="AG51" s="26">
        <f t="shared" si="9"/>
        <v>0</v>
      </c>
      <c r="AH51" s="26">
        <f t="shared" si="9"/>
        <v>0</v>
      </c>
      <c r="AI51" s="26">
        <f t="shared" si="9"/>
        <v>0</v>
      </c>
      <c r="AJ51" s="26">
        <f t="shared" si="9"/>
        <v>0</v>
      </c>
      <c r="AK51" s="26">
        <f aca="true" t="shared" si="10" ref="AK51:BB51">AK52*AK29</f>
        <v>0</v>
      </c>
      <c r="AL51" s="26">
        <f t="shared" si="10"/>
        <v>0</v>
      </c>
      <c r="AM51" s="26">
        <f t="shared" si="10"/>
        <v>0</v>
      </c>
      <c r="AN51" s="26">
        <f t="shared" si="10"/>
        <v>0</v>
      </c>
      <c r="AO51" s="26">
        <f t="shared" si="10"/>
        <v>0</v>
      </c>
      <c r="AP51" s="26">
        <f t="shared" si="10"/>
        <v>0</v>
      </c>
      <c r="AQ51" s="26">
        <f t="shared" si="10"/>
        <v>0</v>
      </c>
      <c r="AR51" s="26">
        <f t="shared" si="10"/>
        <v>0</v>
      </c>
      <c r="AS51" s="26">
        <f t="shared" si="10"/>
        <v>0</v>
      </c>
      <c r="AT51" s="26">
        <f t="shared" si="10"/>
        <v>0</v>
      </c>
      <c r="AU51" s="26">
        <f t="shared" si="10"/>
        <v>0</v>
      </c>
      <c r="AV51" s="26">
        <f t="shared" si="10"/>
        <v>0</v>
      </c>
      <c r="AW51" s="26">
        <f t="shared" si="10"/>
        <v>0</v>
      </c>
      <c r="AX51" s="26">
        <f t="shared" si="10"/>
        <v>0</v>
      </c>
      <c r="AY51" s="26">
        <f t="shared" si="10"/>
        <v>0</v>
      </c>
      <c r="AZ51" s="26">
        <f t="shared" si="10"/>
        <v>0</v>
      </c>
      <c r="BA51" s="26">
        <f t="shared" si="10"/>
        <v>0</v>
      </c>
      <c r="BB51" s="26">
        <f t="shared" si="10"/>
        <v>0</v>
      </c>
    </row>
    <row r="52" spans="1:54" ht="15.75" thickBot="1">
      <c r="A52" s="29" t="s">
        <v>25</v>
      </c>
      <c r="B52" s="7" t="s">
        <v>17</v>
      </c>
      <c r="C52" s="15">
        <f>SUM(E52:BB52)</f>
        <v>-220524.0611731878</v>
      </c>
      <c r="E52" s="30">
        <f aca="true" t="shared" si="11" ref="E52:X52">E57+E61+E64-E70</f>
        <v>-22052.40611731878</v>
      </c>
      <c r="F52" s="30">
        <f t="shared" si="11"/>
        <v>-22052.40611731878</v>
      </c>
      <c r="G52" s="30">
        <f t="shared" si="11"/>
        <v>-22052.40611731878</v>
      </c>
      <c r="H52" s="30">
        <f t="shared" si="11"/>
        <v>-22052.40611731878</v>
      </c>
      <c r="I52" s="30">
        <f t="shared" si="11"/>
        <v>-22052.40611731878</v>
      </c>
      <c r="J52" s="30">
        <f t="shared" si="11"/>
        <v>-22052.40611731878</v>
      </c>
      <c r="K52" s="30">
        <f t="shared" si="11"/>
        <v>-22052.40611731878</v>
      </c>
      <c r="L52" s="30">
        <f t="shared" si="11"/>
        <v>-22052.40611731878</v>
      </c>
      <c r="M52" s="30">
        <f t="shared" si="11"/>
        <v>-22052.40611731878</v>
      </c>
      <c r="N52" s="30">
        <f t="shared" si="11"/>
        <v>-22052.40611731878</v>
      </c>
      <c r="O52" s="30">
        <f t="shared" si="11"/>
        <v>0</v>
      </c>
      <c r="P52" s="30">
        <f t="shared" si="11"/>
        <v>0</v>
      </c>
      <c r="Q52" s="30">
        <f t="shared" si="11"/>
        <v>0</v>
      </c>
      <c r="R52" s="30">
        <f t="shared" si="11"/>
        <v>0</v>
      </c>
      <c r="S52" s="30">
        <f t="shared" si="11"/>
        <v>0</v>
      </c>
      <c r="T52" s="30">
        <f t="shared" si="11"/>
        <v>0</v>
      </c>
      <c r="U52" s="30">
        <f t="shared" si="11"/>
        <v>0</v>
      </c>
      <c r="V52" s="30">
        <f t="shared" si="11"/>
        <v>0</v>
      </c>
      <c r="W52" s="30">
        <f t="shared" si="11"/>
        <v>0</v>
      </c>
      <c r="X52" s="30">
        <f t="shared" si="11"/>
        <v>0</v>
      </c>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row>
    <row r="53" ht="12.75">
      <c r="A53" s="12" t="s">
        <v>13</v>
      </c>
    </row>
    <row r="54" spans="1:3" ht="12.75">
      <c r="A54" s="42" t="s">
        <v>66</v>
      </c>
      <c r="B54" s="46" t="s">
        <v>39</v>
      </c>
      <c r="C54" s="45">
        <f>E8*E16*24/1000</f>
        <v>669.6</v>
      </c>
    </row>
    <row r="55" spans="1:3" ht="12.75">
      <c r="A55" s="42" t="s">
        <v>67</v>
      </c>
      <c r="B55" s="46" t="s">
        <v>39</v>
      </c>
      <c r="C55" s="45">
        <f>E8/2*E17*24/1000</f>
        <v>322.2</v>
      </c>
    </row>
    <row r="56" spans="1:3" ht="12.75">
      <c r="A56" s="42" t="s">
        <v>64</v>
      </c>
      <c r="B56" s="46" t="s">
        <v>41</v>
      </c>
      <c r="C56" s="47">
        <f>(C54/(E14/100)+C55/(E14/100))*859845*4.187/E12/1000</f>
        <v>246.5713899868105</v>
      </c>
    </row>
    <row r="57" spans="1:14" ht="12.75">
      <c r="A57" s="42" t="s">
        <v>65</v>
      </c>
      <c r="B57" s="46" t="s">
        <v>42</v>
      </c>
      <c r="C57" s="47">
        <f>C56*E11</f>
        <v>117.12141024373497</v>
      </c>
      <c r="E57">
        <f>C57*1000</f>
        <v>117121.41024373496</v>
      </c>
      <c r="F57">
        <f aca="true" t="shared" si="12" ref="F57:N57">E57</f>
        <v>117121.41024373496</v>
      </c>
      <c r="G57">
        <f t="shared" si="12"/>
        <v>117121.41024373496</v>
      </c>
      <c r="H57">
        <f t="shared" si="12"/>
        <v>117121.41024373496</v>
      </c>
      <c r="I57">
        <f t="shared" si="12"/>
        <v>117121.41024373496</v>
      </c>
      <c r="J57">
        <f t="shared" si="12"/>
        <v>117121.41024373496</v>
      </c>
      <c r="K57">
        <f t="shared" si="12"/>
        <v>117121.41024373496</v>
      </c>
      <c r="L57">
        <f t="shared" si="12"/>
        <v>117121.41024373496</v>
      </c>
      <c r="M57">
        <f t="shared" si="12"/>
        <v>117121.41024373496</v>
      </c>
      <c r="N57">
        <f t="shared" si="12"/>
        <v>117121.41024373496</v>
      </c>
    </row>
    <row r="58" ht="12.75">
      <c r="A58" s="12"/>
    </row>
    <row r="59" ht="12.75">
      <c r="A59" s="12" t="s">
        <v>14</v>
      </c>
    </row>
    <row r="60" spans="1:3" ht="12.75">
      <c r="A60" s="42" t="s">
        <v>68</v>
      </c>
      <c r="B60" s="46" t="s">
        <v>44</v>
      </c>
      <c r="C60" s="45">
        <f>E21*E16*24+E21/2*E17*24</f>
        <v>9918</v>
      </c>
    </row>
    <row r="61" spans="1:14" ht="12.75">
      <c r="A61" s="42" t="s">
        <v>45</v>
      </c>
      <c r="B61" s="46" t="s">
        <v>46</v>
      </c>
      <c r="C61" s="48">
        <f>C60*E22/100</f>
        <v>3610.152</v>
      </c>
      <c r="E61">
        <f>C61</f>
        <v>3610.152</v>
      </c>
      <c r="F61">
        <f aca="true" t="shared" si="13" ref="F61:N61">E61</f>
        <v>3610.152</v>
      </c>
      <c r="G61">
        <f t="shared" si="13"/>
        <v>3610.152</v>
      </c>
      <c r="H61">
        <f t="shared" si="13"/>
        <v>3610.152</v>
      </c>
      <c r="I61">
        <f t="shared" si="13"/>
        <v>3610.152</v>
      </c>
      <c r="J61">
        <f t="shared" si="13"/>
        <v>3610.152</v>
      </c>
      <c r="K61">
        <f t="shared" si="13"/>
        <v>3610.152</v>
      </c>
      <c r="L61">
        <f t="shared" si="13"/>
        <v>3610.152</v>
      </c>
      <c r="M61">
        <f t="shared" si="13"/>
        <v>3610.152</v>
      </c>
      <c r="N61">
        <f t="shared" si="13"/>
        <v>3610.152</v>
      </c>
    </row>
    <row r="62" ht="12.75">
      <c r="B62" s="7"/>
    </row>
    <row r="63" spans="1:2" ht="12.75">
      <c r="A63" s="12" t="s">
        <v>18</v>
      </c>
      <c r="B63" s="7"/>
    </row>
    <row r="64" spans="1:14" ht="12.75">
      <c r="A64" s="42" t="s">
        <v>70</v>
      </c>
      <c r="B64" s="46" t="s">
        <v>46</v>
      </c>
      <c r="C64" s="45">
        <f>E23*0.5*1.34*12</f>
        <v>14472</v>
      </c>
      <c r="E64">
        <f>C64</f>
        <v>14472</v>
      </c>
      <c r="F64">
        <f aca="true" t="shared" si="14" ref="F64:N64">E64</f>
        <v>14472</v>
      </c>
      <c r="G64">
        <f t="shared" si="14"/>
        <v>14472</v>
      </c>
      <c r="H64">
        <f t="shared" si="14"/>
        <v>14472</v>
      </c>
      <c r="I64">
        <f t="shared" si="14"/>
        <v>14472</v>
      </c>
      <c r="J64">
        <f t="shared" si="14"/>
        <v>14472</v>
      </c>
      <c r="K64">
        <f t="shared" si="14"/>
        <v>14472</v>
      </c>
      <c r="L64">
        <f t="shared" si="14"/>
        <v>14472</v>
      </c>
      <c r="M64">
        <f t="shared" si="14"/>
        <v>14472</v>
      </c>
      <c r="N64">
        <f t="shared" si="14"/>
        <v>14472</v>
      </c>
    </row>
    <row r="65" ht="12.75">
      <c r="B65" s="7"/>
    </row>
    <row r="66" spans="1:2" ht="12.75">
      <c r="A66" s="12" t="s">
        <v>16</v>
      </c>
      <c r="B66" s="7"/>
    </row>
    <row r="67" spans="1:2" ht="12.75">
      <c r="A67" s="5"/>
      <c r="B67" s="7"/>
    </row>
    <row r="68" spans="1:2" ht="12.75">
      <c r="A68" s="52" t="s">
        <v>48</v>
      </c>
      <c r="B68" s="7"/>
    </row>
    <row r="69" spans="1:3" ht="12.75">
      <c r="A69" s="42" t="s">
        <v>49</v>
      </c>
      <c r="B69" s="46" t="s">
        <v>41</v>
      </c>
      <c r="C69" s="48">
        <f>(C54+C55)/(E19/100)*859845/E20/1000</f>
        <v>88.09858171487603</v>
      </c>
    </row>
    <row r="70" spans="1:14" ht="12.75">
      <c r="A70" s="42" t="s">
        <v>50</v>
      </c>
      <c r="B70" s="46" t="s">
        <v>42</v>
      </c>
      <c r="C70" s="48">
        <f>C69*E15/1000</f>
        <v>157.25596836105373</v>
      </c>
      <c r="E70">
        <f>C70*1000</f>
        <v>157255.96836105373</v>
      </c>
      <c r="F70">
        <f aca="true" t="shared" si="15" ref="F70:N70">E70</f>
        <v>157255.96836105373</v>
      </c>
      <c r="G70">
        <f t="shared" si="15"/>
        <v>157255.96836105373</v>
      </c>
      <c r="H70">
        <f t="shared" si="15"/>
        <v>157255.96836105373</v>
      </c>
      <c r="I70">
        <f t="shared" si="15"/>
        <v>157255.96836105373</v>
      </c>
      <c r="J70">
        <f t="shared" si="15"/>
        <v>157255.96836105373</v>
      </c>
      <c r="K70">
        <f t="shared" si="15"/>
        <v>157255.96836105373</v>
      </c>
      <c r="L70">
        <f t="shared" si="15"/>
        <v>157255.96836105373</v>
      </c>
      <c r="M70">
        <f t="shared" si="15"/>
        <v>157255.96836105373</v>
      </c>
      <c r="N70">
        <f t="shared" si="15"/>
        <v>157255.96836105373</v>
      </c>
    </row>
    <row r="71" ht="12.75">
      <c r="A71" s="5"/>
    </row>
    <row r="72" ht="13.5" thickBot="1"/>
    <row r="73" spans="1:3" ht="15.75" thickBot="1">
      <c r="A73" s="19" t="s">
        <v>74</v>
      </c>
      <c r="B73" s="17" t="s">
        <v>7</v>
      </c>
      <c r="C73" s="15">
        <f>(C54+C55)*1000</f>
        <v>991800</v>
      </c>
    </row>
    <row r="74" spans="1:3" ht="12.75">
      <c r="A74" s="6"/>
      <c r="B74" s="7"/>
      <c r="C74" s="2"/>
    </row>
    <row r="75" ht="13.5" thickBot="1"/>
    <row r="76" spans="1:3" ht="33" thickBot="1" thickTop="1">
      <c r="A76" s="54" t="s">
        <v>73</v>
      </c>
      <c r="B76" s="37" t="s">
        <v>8</v>
      </c>
      <c r="C76" s="64">
        <f>IF(C73&gt;0,C31*100/C73*C29/100/(1-POWER(1+C29/100,-C28)),"")</f>
        <v>-1.7893766461449323</v>
      </c>
    </row>
    <row r="77" ht="13.5" thickTop="1"/>
  </sheetData>
  <sheetProtection/>
  <mergeCells count="22">
    <mergeCell ref="A23:C23"/>
    <mergeCell ref="A24:C24"/>
    <mergeCell ref="A15:C15"/>
    <mergeCell ref="A12:C12"/>
    <mergeCell ref="A14:C14"/>
    <mergeCell ref="A17:C17"/>
    <mergeCell ref="A25:C25"/>
    <mergeCell ref="A18:C18"/>
    <mergeCell ref="A20:C20"/>
    <mergeCell ref="A21:C21"/>
    <mergeCell ref="A22:C22"/>
    <mergeCell ref="A19:C19"/>
    <mergeCell ref="A2:D2"/>
    <mergeCell ref="A1:D1"/>
    <mergeCell ref="A6:I6"/>
    <mergeCell ref="A7:C7"/>
    <mergeCell ref="A8:C8"/>
    <mergeCell ref="A16:C16"/>
    <mergeCell ref="A9:C9"/>
    <mergeCell ref="A10:C10"/>
    <mergeCell ref="A11:C11"/>
    <mergeCell ref="A13:C13"/>
  </mergeCells>
  <printOptions gridLines="1"/>
  <pageMargins left="1.26" right="0.37" top="0.68" bottom="0.63" header="0.5" footer="0.5"/>
  <pageSetup fitToHeight="1" fitToWidth="1" horizontalDpi="200" verticalDpi="200" orientation="portrait" scale="6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B76"/>
  <sheetViews>
    <sheetView zoomScalePageLayoutView="0" workbookViewId="0" topLeftCell="A52">
      <selection activeCell="C76" sqref="C76"/>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s>
  <sheetData>
    <row r="1" spans="1:5" ht="24" customHeight="1">
      <c r="A1" s="67" t="s">
        <v>27</v>
      </c>
      <c r="B1" s="68"/>
      <c r="C1" s="66"/>
      <c r="D1" s="66"/>
      <c r="E1" s="1"/>
    </row>
    <row r="2" spans="1:5" ht="24" customHeight="1">
      <c r="A2" s="65" t="s">
        <v>52</v>
      </c>
      <c r="B2" s="66"/>
      <c r="C2" s="66"/>
      <c r="D2" s="66"/>
      <c r="E2" s="1"/>
    </row>
    <row r="3" spans="1:5" ht="24" customHeight="1">
      <c r="A3" s="55" t="s">
        <v>79</v>
      </c>
      <c r="B3" s="56"/>
      <c r="C3" s="56"/>
      <c r="D3" s="56"/>
      <c r="E3" s="1"/>
    </row>
    <row r="4" spans="1:5" ht="12" customHeight="1">
      <c r="A4" s="4"/>
      <c r="B4" s="1"/>
      <c r="C4" s="1"/>
      <c r="D4" s="1"/>
      <c r="E4" s="1"/>
    </row>
    <row r="5" spans="1:5" ht="12" customHeight="1" thickBot="1">
      <c r="A5" s="24" t="s">
        <v>4</v>
      </c>
      <c r="B5" s="1"/>
      <c r="C5" s="1"/>
      <c r="D5" s="1"/>
      <c r="E5" s="1"/>
    </row>
    <row r="6" spans="1:9" ht="72.75" customHeight="1" thickBot="1">
      <c r="A6" s="69" t="s">
        <v>72</v>
      </c>
      <c r="B6" s="70"/>
      <c r="C6" s="70"/>
      <c r="D6" s="70"/>
      <c r="E6" s="70"/>
      <c r="F6" s="70"/>
      <c r="G6" s="70"/>
      <c r="H6" s="70"/>
      <c r="I6" s="71"/>
    </row>
    <row r="7" spans="1:9" ht="15" customHeight="1" thickBot="1">
      <c r="A7" s="72" t="s">
        <v>26</v>
      </c>
      <c r="B7" s="73"/>
      <c r="C7" s="74"/>
      <c r="D7" s="35" t="s">
        <v>1</v>
      </c>
      <c r="E7" s="32"/>
      <c r="F7" s="32"/>
      <c r="G7" s="32"/>
      <c r="H7" s="32"/>
      <c r="I7" s="32"/>
    </row>
    <row r="8" spans="1:9" ht="15" customHeight="1" thickTop="1">
      <c r="A8" s="75" t="s">
        <v>53</v>
      </c>
      <c r="B8" s="76"/>
      <c r="C8" s="77"/>
      <c r="D8" s="33" t="s">
        <v>30</v>
      </c>
      <c r="E8" s="41">
        <v>150</v>
      </c>
      <c r="F8" s="32"/>
      <c r="G8" s="32"/>
      <c r="H8" s="32"/>
      <c r="I8" s="32"/>
    </row>
    <row r="9" spans="1:9" ht="15" customHeight="1">
      <c r="A9" s="78" t="s">
        <v>58</v>
      </c>
      <c r="B9" s="79"/>
      <c r="C9" s="80"/>
      <c r="D9" s="33" t="s">
        <v>29</v>
      </c>
      <c r="E9" s="51">
        <v>48</v>
      </c>
      <c r="F9" s="32"/>
      <c r="G9" s="32"/>
      <c r="H9" s="32"/>
      <c r="I9" s="32"/>
    </row>
    <row r="10" spans="1:9" ht="15" customHeight="1">
      <c r="A10" s="78" t="s">
        <v>28</v>
      </c>
      <c r="B10" s="81"/>
      <c r="C10" s="80"/>
      <c r="D10" s="33" t="s">
        <v>29</v>
      </c>
      <c r="E10" s="53">
        <v>50</v>
      </c>
      <c r="F10" s="32"/>
      <c r="G10" s="32"/>
      <c r="H10" s="32"/>
      <c r="I10" s="32"/>
    </row>
    <row r="11" spans="1:9" ht="15" customHeight="1">
      <c r="A11" s="78" t="s">
        <v>54</v>
      </c>
      <c r="B11" s="79"/>
      <c r="C11" s="80"/>
      <c r="D11" s="33" t="s">
        <v>31</v>
      </c>
      <c r="E11" s="41">
        <v>0.475</v>
      </c>
      <c r="F11" s="32"/>
      <c r="G11" s="32"/>
      <c r="H11" s="32"/>
      <c r="I11" s="32"/>
    </row>
    <row r="12" spans="1:9" ht="15" customHeight="1">
      <c r="A12" s="78" t="s">
        <v>55</v>
      </c>
      <c r="B12" s="81"/>
      <c r="C12" s="80"/>
      <c r="D12" s="33" t="s">
        <v>59</v>
      </c>
      <c r="E12" s="41">
        <v>17660</v>
      </c>
      <c r="F12" s="32"/>
      <c r="G12" s="32"/>
      <c r="H12" s="32"/>
      <c r="I12" s="32"/>
    </row>
    <row r="13" spans="1:9" ht="15" customHeight="1">
      <c r="A13" s="78" t="s">
        <v>56</v>
      </c>
      <c r="B13" s="79"/>
      <c r="C13" s="80"/>
      <c r="D13" s="33" t="s">
        <v>32</v>
      </c>
      <c r="E13" s="51">
        <v>10</v>
      </c>
      <c r="F13" s="32"/>
      <c r="G13" s="32"/>
      <c r="H13" s="32"/>
      <c r="I13" s="32"/>
    </row>
    <row r="14" spans="1:9" ht="15" customHeight="1">
      <c r="A14" s="78" t="s">
        <v>57</v>
      </c>
      <c r="B14" s="81"/>
      <c r="C14" s="80"/>
      <c r="D14" s="33" t="s">
        <v>3</v>
      </c>
      <c r="E14" s="51">
        <v>82</v>
      </c>
      <c r="F14" s="32"/>
      <c r="G14" s="32"/>
      <c r="H14" s="32"/>
      <c r="I14" s="32"/>
    </row>
    <row r="15" spans="1:9" ht="15" customHeight="1">
      <c r="A15" s="78" t="s">
        <v>33</v>
      </c>
      <c r="B15" s="79"/>
      <c r="C15" s="80"/>
      <c r="D15" s="33" t="s">
        <v>34</v>
      </c>
      <c r="E15" s="41">
        <v>1785</v>
      </c>
      <c r="F15" s="32"/>
      <c r="G15" s="32"/>
      <c r="H15" s="32"/>
      <c r="I15" s="32"/>
    </row>
    <row r="16" spans="1:9" ht="15" customHeight="1">
      <c r="A16" s="78" t="s">
        <v>60</v>
      </c>
      <c r="B16" s="79"/>
      <c r="C16" s="80"/>
      <c r="D16" s="33" t="s">
        <v>35</v>
      </c>
      <c r="E16" s="41">
        <v>186</v>
      </c>
      <c r="F16" s="32"/>
      <c r="G16" s="32"/>
      <c r="H16" s="32"/>
      <c r="I16" s="32"/>
    </row>
    <row r="17" spans="1:9" ht="15" customHeight="1">
      <c r="A17" s="78" t="s">
        <v>63</v>
      </c>
      <c r="B17" s="79"/>
      <c r="C17" s="80"/>
      <c r="D17" s="33" t="s">
        <v>35</v>
      </c>
      <c r="E17" s="41">
        <f>365-E16</f>
        <v>179</v>
      </c>
      <c r="F17" s="32"/>
      <c r="G17" s="32"/>
      <c r="H17" s="32"/>
      <c r="I17" s="32"/>
    </row>
    <row r="18" spans="1:9" ht="15" customHeight="1">
      <c r="A18" s="78" t="s">
        <v>36</v>
      </c>
      <c r="B18" s="79"/>
      <c r="C18" s="80"/>
      <c r="D18" s="33" t="s">
        <v>29</v>
      </c>
      <c r="E18" s="41">
        <v>80</v>
      </c>
      <c r="F18" s="32"/>
      <c r="G18" s="32"/>
      <c r="H18" s="32"/>
      <c r="I18" s="32"/>
    </row>
    <row r="19" spans="1:9" ht="15" customHeight="1">
      <c r="A19" s="78" t="s">
        <v>40</v>
      </c>
      <c r="B19" s="81"/>
      <c r="C19" s="80"/>
      <c r="D19" s="33" t="s">
        <v>3</v>
      </c>
      <c r="E19" s="41">
        <v>88</v>
      </c>
      <c r="F19" s="32"/>
      <c r="G19" s="32"/>
      <c r="H19" s="32"/>
      <c r="I19" s="32"/>
    </row>
    <row r="20" spans="1:9" ht="15" customHeight="1">
      <c r="A20" s="78" t="s">
        <v>38</v>
      </c>
      <c r="B20" s="79"/>
      <c r="C20" s="80"/>
      <c r="D20" s="33" t="s">
        <v>37</v>
      </c>
      <c r="E20" s="41">
        <v>11000</v>
      </c>
      <c r="F20" s="32"/>
      <c r="G20" s="32"/>
      <c r="H20" s="32"/>
      <c r="I20" s="32"/>
    </row>
    <row r="21" spans="1:9" ht="15" customHeight="1">
      <c r="A21" s="78" t="s">
        <v>69</v>
      </c>
      <c r="B21" s="79"/>
      <c r="C21" s="80"/>
      <c r="D21" s="33" t="s">
        <v>30</v>
      </c>
      <c r="E21" s="41">
        <v>1.5</v>
      </c>
      <c r="F21" s="32"/>
      <c r="G21" s="32"/>
      <c r="H21" s="32"/>
      <c r="I21" s="32"/>
    </row>
    <row r="22" spans="1:9" ht="15" customHeight="1">
      <c r="A22" s="78" t="s">
        <v>43</v>
      </c>
      <c r="B22" s="79"/>
      <c r="C22" s="80"/>
      <c r="D22" s="33" t="s">
        <v>8</v>
      </c>
      <c r="E22" s="41">
        <v>36.4</v>
      </c>
      <c r="F22" s="32"/>
      <c r="G22" s="32"/>
      <c r="H22" s="32"/>
      <c r="I22" s="32"/>
    </row>
    <row r="23" spans="1:9" ht="15" customHeight="1">
      <c r="A23" s="78" t="s">
        <v>71</v>
      </c>
      <c r="B23" s="79"/>
      <c r="C23" s="80"/>
      <c r="D23" s="33" t="s">
        <v>47</v>
      </c>
      <c r="E23" s="41">
        <v>1800</v>
      </c>
      <c r="F23" s="32"/>
      <c r="G23" s="32"/>
      <c r="H23" s="32"/>
      <c r="I23" s="32"/>
    </row>
    <row r="24" spans="1:9" ht="15" customHeight="1">
      <c r="A24" s="78"/>
      <c r="B24" s="79"/>
      <c r="C24" s="80"/>
      <c r="D24" s="32"/>
      <c r="E24" s="41"/>
      <c r="F24" s="32"/>
      <c r="G24" s="32"/>
      <c r="H24" s="32"/>
      <c r="I24" s="32"/>
    </row>
    <row r="25" spans="1:9" ht="15" customHeight="1" thickBot="1">
      <c r="A25" s="82"/>
      <c r="B25" s="83"/>
      <c r="C25" s="84"/>
      <c r="D25" s="32"/>
      <c r="E25" s="32"/>
      <c r="F25" s="32"/>
      <c r="G25" s="32"/>
      <c r="H25" s="32"/>
      <c r="I25" s="32"/>
    </row>
    <row r="26" spans="1:9" ht="15" customHeight="1" thickBot="1">
      <c r="A26" s="31"/>
      <c r="B26" s="36"/>
      <c r="C26" s="36"/>
      <c r="D26" s="32"/>
      <c r="E26" s="32"/>
      <c r="F26" s="32"/>
      <c r="G26" s="32"/>
      <c r="H26" s="32"/>
      <c r="I26" s="32"/>
    </row>
    <row r="27" spans="1:3" ht="14.25" thickBot="1" thickTop="1">
      <c r="A27" s="34" t="s">
        <v>0</v>
      </c>
      <c r="B27" s="3" t="s">
        <v>1</v>
      </c>
      <c r="C27" s="2"/>
    </row>
    <row r="28" spans="1:3" ht="25.5" customHeight="1" thickTop="1">
      <c r="A28" s="18" t="s">
        <v>22</v>
      </c>
      <c r="B28" s="38" t="s">
        <v>6</v>
      </c>
      <c r="C28" s="39">
        <f>E13</f>
        <v>10</v>
      </c>
    </row>
    <row r="29" spans="1:54" ht="15" thickBot="1">
      <c r="A29" s="16" t="s">
        <v>2</v>
      </c>
      <c r="B29" s="38" t="s">
        <v>3</v>
      </c>
      <c r="C29" s="40">
        <v>8</v>
      </c>
      <c r="D29" s="14">
        <v>1</v>
      </c>
      <c r="E29" s="14">
        <f>1/(1+C29/100)</f>
        <v>0.9259259259259258</v>
      </c>
      <c r="F29" s="14">
        <f>E29/(1+$C29/100)</f>
        <v>0.8573388203017831</v>
      </c>
      <c r="G29" s="14">
        <f>F29/(1+$C29/100)</f>
        <v>0.7938322410201695</v>
      </c>
      <c r="H29" s="14">
        <f aca="true" t="shared" si="0" ref="H29:BB29">G29/(1+$C29/100)</f>
        <v>0.7350298527964532</v>
      </c>
      <c r="I29" s="14">
        <f>H29/(1+$C29/100)</f>
        <v>0.6805831970337529</v>
      </c>
      <c r="J29" s="14">
        <f t="shared" si="0"/>
        <v>0.6301696268831045</v>
      </c>
      <c r="K29" s="14">
        <f>J29/(1+$C29/100)</f>
        <v>0.5834903952621338</v>
      </c>
      <c r="L29" s="14">
        <f t="shared" si="0"/>
        <v>0.5402688845019756</v>
      </c>
      <c r="M29" s="14">
        <f t="shared" si="0"/>
        <v>0.5002489671314588</v>
      </c>
      <c r="N29" s="14">
        <f t="shared" si="0"/>
        <v>0.4631934880846841</v>
      </c>
      <c r="O29" s="14">
        <f t="shared" si="0"/>
        <v>0.4288828593376704</v>
      </c>
      <c r="P29" s="14">
        <f t="shared" si="0"/>
        <v>0.3971137586459911</v>
      </c>
      <c r="Q29" s="14">
        <f t="shared" si="0"/>
        <v>0.36769792467221396</v>
      </c>
      <c r="R29" s="14">
        <f t="shared" si="0"/>
        <v>0.3404610413631611</v>
      </c>
      <c r="S29" s="14">
        <f t="shared" si="0"/>
        <v>0.3152417049658899</v>
      </c>
      <c r="T29" s="14">
        <f t="shared" si="0"/>
        <v>0.2918904675610091</v>
      </c>
      <c r="U29" s="14">
        <f t="shared" si="0"/>
        <v>0.27026895144537877</v>
      </c>
      <c r="V29" s="14">
        <f t="shared" si="0"/>
        <v>0.2502490291160914</v>
      </c>
      <c r="W29" s="14">
        <f t="shared" si="0"/>
        <v>0.23171206399638095</v>
      </c>
      <c r="X29" s="14">
        <f t="shared" si="0"/>
        <v>0.21454820740405642</v>
      </c>
      <c r="Y29" s="14">
        <f t="shared" si="0"/>
        <v>0.19865574759634852</v>
      </c>
      <c r="Z29" s="14">
        <f t="shared" si="0"/>
        <v>0.18394050703365603</v>
      </c>
      <c r="AA29" s="14">
        <f t="shared" si="0"/>
        <v>0.17031528429042223</v>
      </c>
      <c r="AB29" s="14">
        <f t="shared" si="0"/>
        <v>0.15769933730594649</v>
      </c>
      <c r="AC29" s="14">
        <f t="shared" si="0"/>
        <v>0.14601790491291342</v>
      </c>
      <c r="AD29" s="14">
        <f t="shared" si="0"/>
        <v>0.13520176380825316</v>
      </c>
      <c r="AE29" s="14">
        <f t="shared" si="0"/>
        <v>0.12518681834097514</v>
      </c>
      <c r="AF29" s="14">
        <f t="shared" si="0"/>
        <v>0.11591372068608809</v>
      </c>
      <c r="AG29" s="14">
        <f t="shared" si="0"/>
        <v>0.10732751915378526</v>
      </c>
      <c r="AH29" s="14">
        <f t="shared" si="0"/>
        <v>0.09937733254980116</v>
      </c>
      <c r="AI29" s="14">
        <f t="shared" si="0"/>
        <v>0.09201604865722329</v>
      </c>
      <c r="AJ29" s="14">
        <f t="shared" si="0"/>
        <v>0.08520004505298452</v>
      </c>
      <c r="AK29" s="14">
        <f t="shared" si="0"/>
        <v>0.0788889306046153</v>
      </c>
      <c r="AL29" s="14">
        <f t="shared" si="0"/>
        <v>0.07304530611538453</v>
      </c>
      <c r="AM29" s="14">
        <f t="shared" si="0"/>
        <v>0.06763454269943012</v>
      </c>
      <c r="AN29" s="14">
        <f t="shared" si="0"/>
        <v>0.0626245765735464</v>
      </c>
      <c r="AO29" s="14">
        <f t="shared" si="0"/>
        <v>0.057985719049580005</v>
      </c>
      <c r="AP29" s="14">
        <f t="shared" si="0"/>
        <v>0.05369048060146296</v>
      </c>
      <c r="AQ29" s="14">
        <f t="shared" si="0"/>
        <v>0.04971340796431755</v>
      </c>
      <c r="AR29" s="14">
        <f t="shared" si="0"/>
        <v>0.04603093330029402</v>
      </c>
      <c r="AS29" s="14">
        <f t="shared" si="0"/>
        <v>0.042621234537309274</v>
      </c>
      <c r="AT29" s="14">
        <f t="shared" si="0"/>
        <v>0.03946410605306414</v>
      </c>
      <c r="AU29" s="14">
        <f t="shared" si="0"/>
        <v>0.03654083893802235</v>
      </c>
      <c r="AV29" s="14">
        <f t="shared" si="0"/>
        <v>0.033834110127798474</v>
      </c>
      <c r="AW29" s="14">
        <f t="shared" si="0"/>
        <v>0.03132787974796155</v>
      </c>
      <c r="AX29" s="14">
        <f t="shared" si="0"/>
        <v>0.02900729606292736</v>
      </c>
      <c r="AY29" s="14">
        <f t="shared" si="0"/>
        <v>0.02685860746567348</v>
      </c>
      <c r="AZ29" s="14">
        <f t="shared" si="0"/>
        <v>0.0248690809867347</v>
      </c>
      <c r="BA29" s="14">
        <f t="shared" si="0"/>
        <v>0.023026926839569164</v>
      </c>
      <c r="BB29" s="14">
        <f t="shared" si="0"/>
        <v>0.02132122855515663</v>
      </c>
    </row>
    <row r="30" ht="15" thickBot="1">
      <c r="D30" s="28" t="s">
        <v>5</v>
      </c>
    </row>
    <row r="31" spans="1:54" ht="15.75" thickBot="1">
      <c r="A31" s="19" t="s">
        <v>21</v>
      </c>
      <c r="B31" s="17" t="s">
        <v>17</v>
      </c>
      <c r="C31" s="15">
        <f>C32+C51</f>
        <v>-117098.50742709768</v>
      </c>
      <c r="D31" s="28">
        <v>0</v>
      </c>
      <c r="E31" s="28">
        <f>IF(D31&lt;$C28,D31+1,"")</f>
        <v>1</v>
      </c>
      <c r="F31" s="28">
        <f aca="true" t="shared" si="1" ref="F31:BB31">IF(E31&lt;$C28,E31+1,"")</f>
        <v>2</v>
      </c>
      <c r="G31" s="28">
        <f t="shared" si="1"/>
        <v>3</v>
      </c>
      <c r="H31" s="28">
        <f t="shared" si="1"/>
        <v>4</v>
      </c>
      <c r="I31" s="28">
        <f t="shared" si="1"/>
        <v>5</v>
      </c>
      <c r="J31" s="28">
        <f t="shared" si="1"/>
        <v>6</v>
      </c>
      <c r="K31" s="28">
        <f t="shared" si="1"/>
        <v>7</v>
      </c>
      <c r="L31" s="28">
        <f t="shared" si="1"/>
        <v>8</v>
      </c>
      <c r="M31" s="28">
        <f t="shared" si="1"/>
        <v>9</v>
      </c>
      <c r="N31" s="28">
        <f t="shared" si="1"/>
        <v>10</v>
      </c>
      <c r="O31" s="28">
        <f t="shared" si="1"/>
      </c>
      <c r="P31" s="28">
        <f t="shared" si="1"/>
      </c>
      <c r="Q31" s="28">
        <f t="shared" si="1"/>
      </c>
      <c r="R31" s="28">
        <f t="shared" si="1"/>
      </c>
      <c r="S31" s="28">
        <f t="shared" si="1"/>
      </c>
      <c r="T31" s="28">
        <f t="shared" si="1"/>
      </c>
      <c r="U31" s="28">
        <f t="shared" si="1"/>
      </c>
      <c r="V31" s="28">
        <f t="shared" si="1"/>
      </c>
      <c r="W31" s="28">
        <f t="shared" si="1"/>
      </c>
      <c r="X31" s="28">
        <f t="shared" si="1"/>
      </c>
      <c r="Y31" s="28">
        <f t="shared" si="1"/>
      </c>
      <c r="Z31" s="28">
        <f t="shared" si="1"/>
      </c>
      <c r="AA31" s="28">
        <f t="shared" si="1"/>
      </c>
      <c r="AB31" s="28">
        <f t="shared" si="1"/>
      </c>
      <c r="AC31" s="28">
        <f t="shared" si="1"/>
      </c>
      <c r="AD31" s="28">
        <f t="shared" si="1"/>
      </c>
      <c r="AE31" s="28">
        <f t="shared" si="1"/>
      </c>
      <c r="AF31" s="28">
        <f t="shared" si="1"/>
      </c>
      <c r="AG31" s="28">
        <f t="shared" si="1"/>
      </c>
      <c r="AH31" s="28">
        <f t="shared" si="1"/>
      </c>
      <c r="AI31" s="28">
        <f t="shared" si="1"/>
      </c>
      <c r="AJ31" s="28">
        <f t="shared" si="1"/>
      </c>
      <c r="AK31" s="28">
        <f t="shared" si="1"/>
      </c>
      <c r="AL31" s="28">
        <f t="shared" si="1"/>
      </c>
      <c r="AM31" s="28">
        <f t="shared" si="1"/>
      </c>
      <c r="AN31" s="28">
        <f t="shared" si="1"/>
      </c>
      <c r="AO31" s="28">
        <f t="shared" si="1"/>
      </c>
      <c r="AP31" s="28">
        <f t="shared" si="1"/>
      </c>
      <c r="AQ31" s="28">
        <f t="shared" si="1"/>
      </c>
      <c r="AR31" s="28">
        <f t="shared" si="1"/>
      </c>
      <c r="AS31" s="28">
        <f t="shared" si="1"/>
      </c>
      <c r="AT31" s="28">
        <f t="shared" si="1"/>
      </c>
      <c r="AU31" s="28">
        <f t="shared" si="1"/>
      </c>
      <c r="AV31" s="28">
        <f t="shared" si="1"/>
      </c>
      <c r="AW31" s="28">
        <f t="shared" si="1"/>
      </c>
      <c r="AX31" s="28">
        <f t="shared" si="1"/>
      </c>
      <c r="AY31" s="28">
        <f t="shared" si="1"/>
      </c>
      <c r="AZ31" s="28">
        <f t="shared" si="1"/>
      </c>
      <c r="BA31" s="28">
        <f t="shared" si="1"/>
      </c>
      <c r="BB31" s="28">
        <f t="shared" si="1"/>
      </c>
    </row>
    <row r="32" spans="1:54" ht="19.5" thickBot="1">
      <c r="A32" s="25" t="s">
        <v>9</v>
      </c>
      <c r="B32" s="20" t="s">
        <v>17</v>
      </c>
      <c r="C32" s="15">
        <f>SUM(D32:BB32)</f>
        <v>30874.93266262554</v>
      </c>
      <c r="D32" s="26">
        <f>D33*D29</f>
        <v>286.033361567568</v>
      </c>
      <c r="E32" s="26">
        <f aca="true" t="shared" si="2" ref="E32:BB32">E33*E29</f>
        <v>5440.077172042625</v>
      </c>
      <c r="F32" s="26">
        <f t="shared" si="2"/>
        <v>5037.108492632059</v>
      </c>
      <c r="G32" s="26">
        <f t="shared" si="2"/>
        <v>4663.989345029684</v>
      </c>
      <c r="H32" s="26">
        <f t="shared" si="2"/>
        <v>4318.5086528052625</v>
      </c>
      <c r="I32" s="26">
        <f t="shared" si="2"/>
        <v>3998.6191229678357</v>
      </c>
      <c r="J32" s="26">
        <f t="shared" si="2"/>
        <v>3702.425113859107</v>
      </c>
      <c r="K32" s="26">
        <f t="shared" si="2"/>
        <v>3428.171401721395</v>
      </c>
      <c r="L32" s="26">
        <f t="shared" si="2"/>
        <v>0</v>
      </c>
      <c r="M32" s="26">
        <f t="shared" si="2"/>
        <v>0</v>
      </c>
      <c r="N32" s="26">
        <f t="shared" si="2"/>
        <v>0</v>
      </c>
      <c r="O32" s="26">
        <f t="shared" si="2"/>
        <v>0</v>
      </c>
      <c r="P32" s="26">
        <f t="shared" si="2"/>
        <v>0</v>
      </c>
      <c r="Q32" s="26">
        <f t="shared" si="2"/>
        <v>0</v>
      </c>
      <c r="R32" s="26">
        <f t="shared" si="2"/>
        <v>0</v>
      </c>
      <c r="S32" s="26">
        <f t="shared" si="2"/>
        <v>0</v>
      </c>
      <c r="T32" s="26">
        <f t="shared" si="2"/>
        <v>0</v>
      </c>
      <c r="U32" s="26">
        <f t="shared" si="2"/>
        <v>0</v>
      </c>
      <c r="V32" s="26">
        <f t="shared" si="2"/>
        <v>0</v>
      </c>
      <c r="W32" s="26">
        <f t="shared" si="2"/>
        <v>0</v>
      </c>
      <c r="X32" s="26">
        <f t="shared" si="2"/>
        <v>0</v>
      </c>
      <c r="Y32" s="26">
        <f t="shared" si="2"/>
        <v>0</v>
      </c>
      <c r="Z32" s="26">
        <f t="shared" si="2"/>
        <v>0</v>
      </c>
      <c r="AA32" s="26">
        <f t="shared" si="2"/>
        <v>0</v>
      </c>
      <c r="AB32" s="26">
        <f t="shared" si="2"/>
        <v>0</v>
      </c>
      <c r="AC32" s="26">
        <f t="shared" si="2"/>
        <v>0</v>
      </c>
      <c r="AD32" s="26">
        <f t="shared" si="2"/>
        <v>0</v>
      </c>
      <c r="AE32" s="26">
        <f t="shared" si="2"/>
        <v>0</v>
      </c>
      <c r="AF32" s="26">
        <f t="shared" si="2"/>
        <v>0</v>
      </c>
      <c r="AG32" s="26">
        <f t="shared" si="2"/>
        <v>0</v>
      </c>
      <c r="AH32" s="26">
        <f t="shared" si="2"/>
        <v>0</v>
      </c>
      <c r="AI32" s="26">
        <f t="shared" si="2"/>
        <v>0</v>
      </c>
      <c r="AJ32" s="26">
        <f t="shared" si="2"/>
        <v>0</v>
      </c>
      <c r="AK32" s="26">
        <f t="shared" si="2"/>
        <v>0</v>
      </c>
      <c r="AL32" s="26">
        <f t="shared" si="2"/>
        <v>0</v>
      </c>
      <c r="AM32" s="26">
        <f t="shared" si="2"/>
        <v>0</v>
      </c>
      <c r="AN32" s="26">
        <f t="shared" si="2"/>
        <v>0</v>
      </c>
      <c r="AO32" s="26">
        <f t="shared" si="2"/>
        <v>0</v>
      </c>
      <c r="AP32" s="26">
        <f t="shared" si="2"/>
        <v>0</v>
      </c>
      <c r="AQ32" s="26">
        <f t="shared" si="2"/>
        <v>0</v>
      </c>
      <c r="AR32" s="26">
        <f t="shared" si="2"/>
        <v>0</v>
      </c>
      <c r="AS32" s="26">
        <f t="shared" si="2"/>
        <v>0</v>
      </c>
      <c r="AT32" s="26">
        <f t="shared" si="2"/>
        <v>0</v>
      </c>
      <c r="AU32" s="26">
        <f t="shared" si="2"/>
        <v>0</v>
      </c>
      <c r="AV32" s="26">
        <f t="shared" si="2"/>
        <v>0</v>
      </c>
      <c r="AW32" s="26">
        <f t="shared" si="2"/>
        <v>0</v>
      </c>
      <c r="AX32" s="26">
        <f t="shared" si="2"/>
        <v>0</v>
      </c>
      <c r="AY32" s="26">
        <f t="shared" si="2"/>
        <v>0</v>
      </c>
      <c r="AZ32" s="26">
        <f t="shared" si="2"/>
        <v>0</v>
      </c>
      <c r="BA32" s="26">
        <f t="shared" si="2"/>
        <v>0</v>
      </c>
      <c r="BB32" s="26">
        <f t="shared" si="2"/>
        <v>0</v>
      </c>
    </row>
    <row r="33" spans="1:54" ht="14.25" customHeight="1">
      <c r="A33" s="29" t="s">
        <v>24</v>
      </c>
      <c r="B33" s="27" t="s">
        <v>17</v>
      </c>
      <c r="C33" s="11"/>
      <c r="D33" s="50">
        <f>D35+D36+D41+D47+D48</f>
        <v>286.033361567568</v>
      </c>
      <c r="E33" s="50">
        <f aca="true" t="shared" si="3" ref="E33:K33">E35+E36+E41+E47+E48</f>
        <v>5875.283345806035</v>
      </c>
      <c r="F33" s="50">
        <f t="shared" si="3"/>
        <v>5875.283345806035</v>
      </c>
      <c r="G33" s="50">
        <f t="shared" si="3"/>
        <v>5875.283345806035</v>
      </c>
      <c r="H33" s="50">
        <f t="shared" si="3"/>
        <v>5875.283345806035</v>
      </c>
      <c r="I33" s="50">
        <f t="shared" si="3"/>
        <v>5875.283345806035</v>
      </c>
      <c r="J33" s="50">
        <f t="shared" si="3"/>
        <v>5875.283345806035</v>
      </c>
      <c r="K33" s="50">
        <f t="shared" si="3"/>
        <v>5875.283345806035</v>
      </c>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row>
    <row r="34" spans="1:3" ht="12.75">
      <c r="A34" s="12" t="s">
        <v>10</v>
      </c>
      <c r="C34" s="8"/>
    </row>
    <row r="35" spans="1:3" ht="12.75">
      <c r="A35" s="42" t="s">
        <v>61</v>
      </c>
      <c r="B35" s="43" t="s">
        <v>29</v>
      </c>
      <c r="C35" s="44">
        <f>E9</f>
        <v>48</v>
      </c>
    </row>
    <row r="36" spans="1:3" ht="12.75">
      <c r="A36" s="42" t="s">
        <v>28</v>
      </c>
      <c r="B36" s="43" t="s">
        <v>29</v>
      </c>
      <c r="C36" s="44">
        <f>E10</f>
        <v>50</v>
      </c>
    </row>
    <row r="37" ht="12.75">
      <c r="C37" s="8"/>
    </row>
    <row r="38" ht="12.75">
      <c r="A38" s="12" t="s">
        <v>11</v>
      </c>
    </row>
    <row r="39" spans="1:3" ht="12.75">
      <c r="A39" s="45" t="s">
        <v>19</v>
      </c>
      <c r="B39" s="46" t="s">
        <v>6</v>
      </c>
      <c r="C39" s="45">
        <v>40</v>
      </c>
    </row>
    <row r="40" spans="1:3" ht="12.75">
      <c r="A40" s="45" t="s">
        <v>51</v>
      </c>
      <c r="B40" s="46" t="s">
        <v>29</v>
      </c>
      <c r="C40" s="45">
        <f>E18</f>
        <v>80</v>
      </c>
    </row>
    <row r="41" spans="1:4" ht="12.75">
      <c r="A41" s="45" t="s">
        <v>62</v>
      </c>
      <c r="B41" s="46" t="s">
        <v>29</v>
      </c>
      <c r="C41" s="48">
        <f>C40*C43</f>
        <v>45.01668078378427</v>
      </c>
      <c r="D41" s="49"/>
    </row>
    <row r="42" spans="1:3" ht="12.75">
      <c r="A42" s="10" t="s">
        <v>20</v>
      </c>
      <c r="B42" s="7" t="s">
        <v>17</v>
      </c>
      <c r="C42" s="23"/>
    </row>
    <row r="43" spans="1:3" ht="14.25" customHeight="1">
      <c r="A43" s="22" t="s">
        <v>23</v>
      </c>
      <c r="B43" s="21"/>
      <c r="C43" s="16">
        <f>(1-POWER(1+C29/100,-C28))/(1-POWER(1+C29/100,-C39))</f>
        <v>0.5627085097973034</v>
      </c>
    </row>
    <row r="44" spans="1:3" ht="12.75">
      <c r="A44" s="9"/>
      <c r="B44" s="7"/>
      <c r="C44" s="11"/>
    </row>
    <row r="45" spans="1:3" ht="12.75">
      <c r="A45" s="13" t="s">
        <v>12</v>
      </c>
      <c r="C45" s="11"/>
    </row>
    <row r="46" spans="1:11" ht="12.75">
      <c r="A46" s="59" t="s">
        <v>80</v>
      </c>
      <c r="B46" s="60" t="s">
        <v>17</v>
      </c>
      <c r="C46" s="62">
        <f>'4 FinPlanas'!C46</f>
        <v>28603.3361567568</v>
      </c>
      <c r="D46" s="57"/>
      <c r="E46" s="57"/>
      <c r="F46" s="57"/>
      <c r="G46" s="57"/>
      <c r="H46" s="57"/>
      <c r="I46" s="57"/>
      <c r="J46" s="57"/>
      <c r="K46" s="57"/>
    </row>
    <row r="47" spans="1:11" ht="12.75">
      <c r="A47" s="59" t="s">
        <v>83</v>
      </c>
      <c r="B47" s="60" t="s">
        <v>17</v>
      </c>
      <c r="C47" s="62">
        <f>SUM(E47:K47)</f>
        <v>41126.983420642246</v>
      </c>
      <c r="D47" s="57"/>
      <c r="E47" s="58">
        <v>5875.283345806035</v>
      </c>
      <c r="F47" s="58">
        <v>5875.283345806035</v>
      </c>
      <c r="G47" s="58">
        <v>5875.283345806035</v>
      </c>
      <c r="H47" s="58">
        <v>5875.283345806035</v>
      </c>
      <c r="I47" s="58">
        <v>5875.283345806035</v>
      </c>
      <c r="J47" s="58">
        <v>5875.283345806035</v>
      </c>
      <c r="K47" s="58">
        <v>5875.283345806035</v>
      </c>
    </row>
    <row r="48" spans="1:11" ht="12.75" customHeight="1">
      <c r="A48" s="63" t="s">
        <v>82</v>
      </c>
      <c r="B48" s="60" t="s">
        <v>17</v>
      </c>
      <c r="C48" s="61"/>
      <c r="D48" s="58">
        <f>C46*0.01</f>
        <v>286.033361567568</v>
      </c>
      <c r="E48" s="57"/>
      <c r="F48" s="57"/>
      <c r="G48" s="57"/>
      <c r="H48" s="57"/>
      <c r="I48" s="57"/>
      <c r="J48" s="57"/>
      <c r="K48" s="57"/>
    </row>
    <row r="49" spans="1:3" ht="12.75">
      <c r="A49" s="9"/>
      <c r="C49" s="11"/>
    </row>
    <row r="50" spans="4:54" ht="15" thickBot="1">
      <c r="D50" s="28" t="s">
        <v>5</v>
      </c>
      <c r="E50" s="28">
        <f>E31</f>
        <v>1</v>
      </c>
      <c r="F50" s="28">
        <f aca="true" t="shared" si="4" ref="F50:BB50">F31</f>
        <v>2</v>
      </c>
      <c r="G50" s="28">
        <f t="shared" si="4"/>
        <v>3</v>
      </c>
      <c r="H50" s="28">
        <f t="shared" si="4"/>
        <v>4</v>
      </c>
      <c r="I50" s="28">
        <f t="shared" si="4"/>
        <v>5</v>
      </c>
      <c r="J50" s="28">
        <f t="shared" si="4"/>
        <v>6</v>
      </c>
      <c r="K50" s="28">
        <f t="shared" si="4"/>
        <v>7</v>
      </c>
      <c r="L50" s="28">
        <f t="shared" si="4"/>
        <v>8</v>
      </c>
      <c r="M50" s="28">
        <f t="shared" si="4"/>
        <v>9</v>
      </c>
      <c r="N50" s="28">
        <f t="shared" si="4"/>
        <v>10</v>
      </c>
      <c r="O50" s="28">
        <f t="shared" si="4"/>
      </c>
      <c r="P50" s="28">
        <f t="shared" si="4"/>
      </c>
      <c r="Q50" s="28">
        <f t="shared" si="4"/>
      </c>
      <c r="R50" s="28">
        <f t="shared" si="4"/>
      </c>
      <c r="S50" s="28">
        <f t="shared" si="4"/>
      </c>
      <c r="T50" s="28">
        <f t="shared" si="4"/>
      </c>
      <c r="U50" s="28">
        <f t="shared" si="4"/>
      </c>
      <c r="V50" s="28">
        <f t="shared" si="4"/>
      </c>
      <c r="W50" s="28">
        <f t="shared" si="4"/>
      </c>
      <c r="X50" s="28">
        <f t="shared" si="4"/>
      </c>
      <c r="Y50" s="28">
        <f t="shared" si="4"/>
      </c>
      <c r="Z50" s="28">
        <f t="shared" si="4"/>
      </c>
      <c r="AA50" s="28">
        <f t="shared" si="4"/>
      </c>
      <c r="AB50" s="28">
        <f t="shared" si="4"/>
      </c>
      <c r="AC50" s="28">
        <f t="shared" si="4"/>
      </c>
      <c r="AD50" s="28">
        <f t="shared" si="4"/>
      </c>
      <c r="AE50" s="28">
        <f t="shared" si="4"/>
      </c>
      <c r="AF50" s="28">
        <f t="shared" si="4"/>
      </c>
      <c r="AG50" s="28">
        <f t="shared" si="4"/>
      </c>
      <c r="AH50" s="28">
        <f t="shared" si="4"/>
      </c>
      <c r="AI50" s="28">
        <f t="shared" si="4"/>
      </c>
      <c r="AJ50" s="28">
        <f t="shared" si="4"/>
      </c>
      <c r="AK50" s="28">
        <f t="shared" si="4"/>
      </c>
      <c r="AL50" s="28">
        <f t="shared" si="4"/>
      </c>
      <c r="AM50" s="28">
        <f t="shared" si="4"/>
      </c>
      <c r="AN50" s="28">
        <f t="shared" si="4"/>
      </c>
      <c r="AO50" s="28">
        <f t="shared" si="4"/>
      </c>
      <c r="AP50" s="28">
        <f t="shared" si="4"/>
      </c>
      <c r="AQ50" s="28">
        <f t="shared" si="4"/>
      </c>
      <c r="AR50" s="28">
        <f t="shared" si="4"/>
      </c>
      <c r="AS50" s="28">
        <f t="shared" si="4"/>
      </c>
      <c r="AT50" s="28">
        <f t="shared" si="4"/>
      </c>
      <c r="AU50" s="28">
        <f t="shared" si="4"/>
      </c>
      <c r="AV50" s="28">
        <f t="shared" si="4"/>
      </c>
      <c r="AW50" s="28">
        <f t="shared" si="4"/>
      </c>
      <c r="AX50" s="28">
        <f t="shared" si="4"/>
      </c>
      <c r="AY50" s="28">
        <f t="shared" si="4"/>
      </c>
      <c r="AZ50" s="28">
        <f t="shared" si="4"/>
      </c>
      <c r="BA50" s="28">
        <f t="shared" si="4"/>
      </c>
      <c r="BB50" s="28">
        <f t="shared" si="4"/>
      </c>
    </row>
    <row r="51" spans="1:54" ht="19.5" thickBot="1">
      <c r="A51" s="25" t="s">
        <v>15</v>
      </c>
      <c r="B51" s="21" t="s">
        <v>17</v>
      </c>
      <c r="C51" s="15">
        <f>SUM(E51:BB51)</f>
        <v>-147973.4400897232</v>
      </c>
      <c r="D51" s="1"/>
      <c r="E51" s="26">
        <f aca="true" t="shared" si="5" ref="E51:AJ51">E52*E29</f>
        <v>-20418.894553072943</v>
      </c>
      <c r="F51" s="26">
        <f t="shared" si="5"/>
        <v>-18906.383845437907</v>
      </c>
      <c r="G51" s="26">
        <f t="shared" si="5"/>
        <v>-17505.91096799806</v>
      </c>
      <c r="H51" s="26">
        <f t="shared" si="5"/>
        <v>-16209.176822220426</v>
      </c>
      <c r="I51" s="26">
        <f t="shared" si="5"/>
        <v>-15008.497057611505</v>
      </c>
      <c r="J51" s="26">
        <f t="shared" si="5"/>
        <v>-13896.756534825467</v>
      </c>
      <c r="K51" s="26">
        <f t="shared" si="5"/>
        <v>-12867.36716187543</v>
      </c>
      <c r="L51" s="26">
        <f t="shared" si="5"/>
        <v>-11914.228853588362</v>
      </c>
      <c r="M51" s="26">
        <f t="shared" si="5"/>
        <v>-11031.693382952184</v>
      </c>
      <c r="N51" s="26">
        <f t="shared" si="5"/>
        <v>-10214.530910140911</v>
      </c>
      <c r="O51" s="26">
        <f t="shared" si="5"/>
        <v>0</v>
      </c>
      <c r="P51" s="26">
        <f t="shared" si="5"/>
        <v>0</v>
      </c>
      <c r="Q51" s="26">
        <f t="shared" si="5"/>
        <v>0</v>
      </c>
      <c r="R51" s="26">
        <f t="shared" si="5"/>
        <v>0</v>
      </c>
      <c r="S51" s="26">
        <f t="shared" si="5"/>
        <v>0</v>
      </c>
      <c r="T51" s="26">
        <f t="shared" si="5"/>
        <v>0</v>
      </c>
      <c r="U51" s="26">
        <f t="shared" si="5"/>
        <v>0</v>
      </c>
      <c r="V51" s="26">
        <f t="shared" si="5"/>
        <v>0</v>
      </c>
      <c r="W51" s="26">
        <f t="shared" si="5"/>
        <v>0</v>
      </c>
      <c r="X51" s="26">
        <f t="shared" si="5"/>
        <v>0</v>
      </c>
      <c r="Y51" s="26">
        <f t="shared" si="5"/>
        <v>0</v>
      </c>
      <c r="Z51" s="26">
        <f t="shared" si="5"/>
        <v>0</v>
      </c>
      <c r="AA51" s="26">
        <f t="shared" si="5"/>
        <v>0</v>
      </c>
      <c r="AB51" s="26">
        <f t="shared" si="5"/>
        <v>0</v>
      </c>
      <c r="AC51" s="26">
        <f t="shared" si="5"/>
        <v>0</v>
      </c>
      <c r="AD51" s="26">
        <f t="shared" si="5"/>
        <v>0</v>
      </c>
      <c r="AE51" s="26">
        <f t="shared" si="5"/>
        <v>0</v>
      </c>
      <c r="AF51" s="26">
        <f t="shared" si="5"/>
        <v>0</v>
      </c>
      <c r="AG51" s="26">
        <f t="shared" si="5"/>
        <v>0</v>
      </c>
      <c r="AH51" s="26">
        <f t="shared" si="5"/>
        <v>0</v>
      </c>
      <c r="AI51" s="26">
        <f t="shared" si="5"/>
        <v>0</v>
      </c>
      <c r="AJ51" s="26">
        <f t="shared" si="5"/>
        <v>0</v>
      </c>
      <c r="AK51" s="26">
        <f aca="true" t="shared" si="6" ref="AK51:BB51">AK52*AK29</f>
        <v>0</v>
      </c>
      <c r="AL51" s="26">
        <f t="shared" si="6"/>
        <v>0</v>
      </c>
      <c r="AM51" s="26">
        <f t="shared" si="6"/>
        <v>0</v>
      </c>
      <c r="AN51" s="26">
        <f t="shared" si="6"/>
        <v>0</v>
      </c>
      <c r="AO51" s="26">
        <f t="shared" si="6"/>
        <v>0</v>
      </c>
      <c r="AP51" s="26">
        <f t="shared" si="6"/>
        <v>0</v>
      </c>
      <c r="AQ51" s="26">
        <f t="shared" si="6"/>
        <v>0</v>
      </c>
      <c r="AR51" s="26">
        <f t="shared" si="6"/>
        <v>0</v>
      </c>
      <c r="AS51" s="26">
        <f t="shared" si="6"/>
        <v>0</v>
      </c>
      <c r="AT51" s="26">
        <f t="shared" si="6"/>
        <v>0</v>
      </c>
      <c r="AU51" s="26">
        <f t="shared" si="6"/>
        <v>0</v>
      </c>
      <c r="AV51" s="26">
        <f t="shared" si="6"/>
        <v>0</v>
      </c>
      <c r="AW51" s="26">
        <f t="shared" si="6"/>
        <v>0</v>
      </c>
      <c r="AX51" s="26">
        <f t="shared" si="6"/>
        <v>0</v>
      </c>
      <c r="AY51" s="26">
        <f t="shared" si="6"/>
        <v>0</v>
      </c>
      <c r="AZ51" s="26">
        <f t="shared" si="6"/>
        <v>0</v>
      </c>
      <c r="BA51" s="26">
        <f t="shared" si="6"/>
        <v>0</v>
      </c>
      <c r="BB51" s="26">
        <f t="shared" si="6"/>
        <v>0</v>
      </c>
    </row>
    <row r="52" spans="1:54" ht="15.75" thickBot="1">
      <c r="A52" s="29" t="s">
        <v>25</v>
      </c>
      <c r="B52" s="7" t="s">
        <v>17</v>
      </c>
      <c r="C52" s="15">
        <f>SUM(E52:BB52)</f>
        <v>-220524.0611731878</v>
      </c>
      <c r="E52" s="30">
        <f>E57+E61+E64-E70</f>
        <v>-22052.40611731878</v>
      </c>
      <c r="F52" s="30">
        <f>F57+F61+F64-F70</f>
        <v>-22052.40611731878</v>
      </c>
      <c r="G52" s="30">
        <f aca="true" t="shared" si="7" ref="G52:X52">G57+G61+G64-G70</f>
        <v>-22052.40611731878</v>
      </c>
      <c r="H52" s="30">
        <f t="shared" si="7"/>
        <v>-22052.40611731878</v>
      </c>
      <c r="I52" s="30">
        <f t="shared" si="7"/>
        <v>-22052.40611731878</v>
      </c>
      <c r="J52" s="30">
        <f t="shared" si="7"/>
        <v>-22052.40611731878</v>
      </c>
      <c r="K52" s="30">
        <f t="shared" si="7"/>
        <v>-22052.40611731878</v>
      </c>
      <c r="L52" s="30">
        <f t="shared" si="7"/>
        <v>-22052.40611731878</v>
      </c>
      <c r="M52" s="30">
        <f t="shared" si="7"/>
        <v>-22052.40611731878</v>
      </c>
      <c r="N52" s="30">
        <f t="shared" si="7"/>
        <v>-22052.40611731878</v>
      </c>
      <c r="O52" s="30">
        <f t="shared" si="7"/>
        <v>0</v>
      </c>
      <c r="P52" s="30">
        <f t="shared" si="7"/>
        <v>0</v>
      </c>
      <c r="Q52" s="30">
        <f t="shared" si="7"/>
        <v>0</v>
      </c>
      <c r="R52" s="30">
        <f t="shared" si="7"/>
        <v>0</v>
      </c>
      <c r="S52" s="30">
        <f t="shared" si="7"/>
        <v>0</v>
      </c>
      <c r="T52" s="30">
        <f t="shared" si="7"/>
        <v>0</v>
      </c>
      <c r="U52" s="30">
        <f t="shared" si="7"/>
        <v>0</v>
      </c>
      <c r="V52" s="30">
        <f t="shared" si="7"/>
        <v>0</v>
      </c>
      <c r="W52" s="30">
        <f t="shared" si="7"/>
        <v>0</v>
      </c>
      <c r="X52" s="30">
        <f t="shared" si="7"/>
        <v>0</v>
      </c>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row>
    <row r="53" ht="12.75">
      <c r="A53" s="12" t="s">
        <v>13</v>
      </c>
    </row>
    <row r="54" spans="1:3" ht="12.75">
      <c r="A54" s="42" t="s">
        <v>66</v>
      </c>
      <c r="B54" s="46" t="s">
        <v>39</v>
      </c>
      <c r="C54" s="45">
        <f>E8*E16*24/1000</f>
        <v>669.6</v>
      </c>
    </row>
    <row r="55" spans="1:3" ht="12.75">
      <c r="A55" s="42" t="s">
        <v>67</v>
      </c>
      <c r="B55" s="46" t="s">
        <v>39</v>
      </c>
      <c r="C55" s="45">
        <f>E8/2*E17*24/1000</f>
        <v>322.2</v>
      </c>
    </row>
    <row r="56" spans="1:3" ht="12.75">
      <c r="A56" s="42" t="s">
        <v>64</v>
      </c>
      <c r="B56" s="46" t="s">
        <v>41</v>
      </c>
      <c r="C56" s="47">
        <f>(C54/(E14/100)+C55/(E14/100))*859845*4.187/E12/1000</f>
        <v>246.5713899868105</v>
      </c>
    </row>
    <row r="57" spans="1:14" ht="12.75">
      <c r="A57" s="42" t="s">
        <v>65</v>
      </c>
      <c r="B57" s="46" t="s">
        <v>42</v>
      </c>
      <c r="C57" s="47">
        <f>C56*E11</f>
        <v>117.12141024373497</v>
      </c>
      <c r="E57">
        <f>C57*1000</f>
        <v>117121.41024373496</v>
      </c>
      <c r="F57">
        <f aca="true" t="shared" si="8" ref="F57:N57">E57</f>
        <v>117121.41024373496</v>
      </c>
      <c r="G57">
        <f t="shared" si="8"/>
        <v>117121.41024373496</v>
      </c>
      <c r="H57">
        <f t="shared" si="8"/>
        <v>117121.41024373496</v>
      </c>
      <c r="I57">
        <f t="shared" si="8"/>
        <v>117121.41024373496</v>
      </c>
      <c r="J57">
        <f t="shared" si="8"/>
        <v>117121.41024373496</v>
      </c>
      <c r="K57">
        <f>J57</f>
        <v>117121.41024373496</v>
      </c>
      <c r="L57">
        <f t="shared" si="8"/>
        <v>117121.41024373496</v>
      </c>
      <c r="M57">
        <f t="shared" si="8"/>
        <v>117121.41024373496</v>
      </c>
      <c r="N57">
        <f t="shared" si="8"/>
        <v>117121.41024373496</v>
      </c>
    </row>
    <row r="58" ht="12.75">
      <c r="A58" s="12"/>
    </row>
    <row r="59" ht="12.75">
      <c r="A59" s="12" t="s">
        <v>14</v>
      </c>
    </row>
    <row r="60" spans="1:3" ht="12.75">
      <c r="A60" s="42" t="s">
        <v>68</v>
      </c>
      <c r="B60" s="46" t="s">
        <v>44</v>
      </c>
      <c r="C60" s="45">
        <f>E21*E16*24+E21/2*E17*24</f>
        <v>9918</v>
      </c>
    </row>
    <row r="61" spans="1:14" ht="12.75">
      <c r="A61" s="42" t="s">
        <v>45</v>
      </c>
      <c r="B61" s="46" t="s">
        <v>46</v>
      </c>
      <c r="C61" s="48">
        <f>C60*E22/100</f>
        <v>3610.152</v>
      </c>
      <c r="E61">
        <f>C61</f>
        <v>3610.152</v>
      </c>
      <c r="F61">
        <f aca="true" t="shared" si="9" ref="F61:N61">E61</f>
        <v>3610.152</v>
      </c>
      <c r="G61">
        <f t="shared" si="9"/>
        <v>3610.152</v>
      </c>
      <c r="H61">
        <f t="shared" si="9"/>
        <v>3610.152</v>
      </c>
      <c r="I61">
        <f t="shared" si="9"/>
        <v>3610.152</v>
      </c>
      <c r="J61">
        <f t="shared" si="9"/>
        <v>3610.152</v>
      </c>
      <c r="K61">
        <f t="shared" si="9"/>
        <v>3610.152</v>
      </c>
      <c r="L61">
        <f t="shared" si="9"/>
        <v>3610.152</v>
      </c>
      <c r="M61">
        <f t="shared" si="9"/>
        <v>3610.152</v>
      </c>
      <c r="N61">
        <f t="shared" si="9"/>
        <v>3610.152</v>
      </c>
    </row>
    <row r="62" ht="12.75">
      <c r="B62" s="7"/>
    </row>
    <row r="63" spans="1:2" ht="12.75">
      <c r="A63" s="12" t="s">
        <v>18</v>
      </c>
      <c r="B63" s="7"/>
    </row>
    <row r="64" spans="1:14" ht="12.75">
      <c r="A64" s="42" t="s">
        <v>70</v>
      </c>
      <c r="B64" s="46" t="s">
        <v>46</v>
      </c>
      <c r="C64" s="45">
        <f>E23*0.5*1.34*12</f>
        <v>14472</v>
      </c>
      <c r="E64">
        <f>C64</f>
        <v>14472</v>
      </c>
      <c r="F64">
        <f aca="true" t="shared" si="10" ref="F64:N64">E64</f>
        <v>14472</v>
      </c>
      <c r="G64">
        <f t="shared" si="10"/>
        <v>14472</v>
      </c>
      <c r="H64">
        <f t="shared" si="10"/>
        <v>14472</v>
      </c>
      <c r="I64">
        <f t="shared" si="10"/>
        <v>14472</v>
      </c>
      <c r="J64">
        <f t="shared" si="10"/>
        <v>14472</v>
      </c>
      <c r="K64">
        <f t="shared" si="10"/>
        <v>14472</v>
      </c>
      <c r="L64">
        <f t="shared" si="10"/>
        <v>14472</v>
      </c>
      <c r="M64">
        <f t="shared" si="10"/>
        <v>14472</v>
      </c>
      <c r="N64">
        <f t="shared" si="10"/>
        <v>14472</v>
      </c>
    </row>
    <row r="65" ht="12.75">
      <c r="B65" s="7"/>
    </row>
    <row r="66" spans="1:2" ht="12.75">
      <c r="A66" s="12" t="s">
        <v>16</v>
      </c>
      <c r="B66" s="7"/>
    </row>
    <row r="67" spans="1:2" ht="12.75">
      <c r="A67" s="5"/>
      <c r="B67" s="7"/>
    </row>
    <row r="68" spans="1:2" ht="12.75">
      <c r="A68" s="52" t="s">
        <v>48</v>
      </c>
      <c r="B68" s="7"/>
    </row>
    <row r="69" spans="1:3" ht="12.75">
      <c r="A69" s="42" t="s">
        <v>49</v>
      </c>
      <c r="B69" s="46" t="s">
        <v>41</v>
      </c>
      <c r="C69" s="48">
        <f>(C54+C55)/(E19/100)*859845/E20/1000</f>
        <v>88.09858171487603</v>
      </c>
    </row>
    <row r="70" spans="1:14" ht="12.75">
      <c r="A70" s="42" t="s">
        <v>50</v>
      </c>
      <c r="B70" s="46" t="s">
        <v>42</v>
      </c>
      <c r="C70" s="48">
        <f>C69*E15/1000</f>
        <v>157.25596836105373</v>
      </c>
      <c r="E70">
        <f>C70*1000</f>
        <v>157255.96836105373</v>
      </c>
      <c r="F70">
        <f aca="true" t="shared" si="11" ref="F70:N70">E70</f>
        <v>157255.96836105373</v>
      </c>
      <c r="G70">
        <f t="shared" si="11"/>
        <v>157255.96836105373</v>
      </c>
      <c r="H70">
        <f t="shared" si="11"/>
        <v>157255.96836105373</v>
      </c>
      <c r="I70">
        <f t="shared" si="11"/>
        <v>157255.96836105373</v>
      </c>
      <c r="J70">
        <f t="shared" si="11"/>
        <v>157255.96836105373</v>
      </c>
      <c r="K70">
        <f t="shared" si="11"/>
        <v>157255.96836105373</v>
      </c>
      <c r="L70">
        <f t="shared" si="11"/>
        <v>157255.96836105373</v>
      </c>
      <c r="M70">
        <f t="shared" si="11"/>
        <v>157255.96836105373</v>
      </c>
      <c r="N70">
        <f t="shared" si="11"/>
        <v>157255.96836105373</v>
      </c>
    </row>
    <row r="71" ht="12.75">
      <c r="A71" s="5"/>
    </row>
    <row r="72" ht="13.5" thickBot="1"/>
    <row r="73" spans="1:3" ht="15.75" thickBot="1">
      <c r="A73" s="19" t="s">
        <v>74</v>
      </c>
      <c r="B73" s="17" t="s">
        <v>7</v>
      </c>
      <c r="C73" s="15">
        <f>(C54+C55)*1000</f>
        <v>991800</v>
      </c>
    </row>
    <row r="74" spans="1:3" ht="12.75">
      <c r="A74" s="6"/>
      <c r="B74" s="7"/>
      <c r="C74" s="2"/>
    </row>
    <row r="75" ht="13.5" thickBot="1"/>
    <row r="76" spans="1:3" ht="33" thickBot="1" thickTop="1">
      <c r="A76" s="54" t="s">
        <v>73</v>
      </c>
      <c r="B76" s="37" t="s">
        <v>8</v>
      </c>
      <c r="C76" s="64">
        <f>IF(C73&gt;0,C31*100/C73*C29/100/(1-POWER(1+C29/100,-C28)),"")</f>
        <v>-1.7595413076276512</v>
      </c>
    </row>
    <row r="77" ht="13.5" thickTop="1"/>
  </sheetData>
  <sheetProtection/>
  <mergeCells count="22">
    <mergeCell ref="A2:D2"/>
    <mergeCell ref="A1:D1"/>
    <mergeCell ref="A6:I6"/>
    <mergeCell ref="A7:C7"/>
    <mergeCell ref="A8:C8"/>
    <mergeCell ref="A16:C16"/>
    <mergeCell ref="A9:C9"/>
    <mergeCell ref="A10:C10"/>
    <mergeCell ref="A11:C11"/>
    <mergeCell ref="A13:C13"/>
    <mergeCell ref="A15:C15"/>
    <mergeCell ref="A12:C12"/>
    <mergeCell ref="A14:C14"/>
    <mergeCell ref="A17:C17"/>
    <mergeCell ref="A25:C25"/>
    <mergeCell ref="A18:C18"/>
    <mergeCell ref="A20:C20"/>
    <mergeCell ref="A21:C21"/>
    <mergeCell ref="A22:C22"/>
    <mergeCell ref="A19:C19"/>
    <mergeCell ref="A23:C23"/>
    <mergeCell ref="A24:C24"/>
  </mergeCells>
  <printOptions gridLines="1"/>
  <pageMargins left="1.26" right="0.37" top="0.68" bottom="0.63" header="0.5" footer="0.5"/>
  <pageSetup fitToHeight="1" fitToWidth="1" horizontalDpi="200" verticalDpi="200" orientation="portrait"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Rimas</dc:creator>
  <cp:keywords/>
  <dc:description/>
  <cp:lastModifiedBy>Vilma Kavaliova</cp:lastModifiedBy>
  <cp:lastPrinted>2011-06-26T22:02:56Z</cp:lastPrinted>
  <dcterms:created xsi:type="dcterms:W3CDTF">2011-01-13T11:46:47Z</dcterms:created>
  <dcterms:modified xsi:type="dcterms:W3CDTF">2021-12-30T07:22:27Z</dcterms:modified>
  <cp:category/>
  <cp:version/>
  <cp:contentType/>
  <cp:contentStatus/>
</cp:coreProperties>
</file>